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120" yWindow="-120" windowWidth="29040" windowHeight="15720" tabRatio="886"/>
  </bookViews>
  <sheets>
    <sheet name="SUMMARISED BOQ - ANX 1" sheetId="65" r:id="rId1"/>
    <sheet name="DRAWINGS - ANX 2" sheetId="66" r:id="rId2"/>
    <sheet name="SCOPE OF WORK - ANX 3" sheetId="53" r:id="rId3"/>
    <sheet name="WEIGH BRIDGE " sheetId="52" state="hidden" r:id="rId4"/>
    <sheet name="PARKING " sheetId="43" state="hidden" r:id="rId5"/>
    <sheet name="ELECTRICAL LINE FOUNDATION " sheetId="60" state="hidden" r:id="rId6"/>
    <sheet name="allied infrastructre finishig w" sheetId="62" state="hidden" r:id="rId7"/>
    <sheet name="PLOT BOUNDARY 103,104" sheetId="63" state="hidden" r:id="rId8"/>
    <sheet name="GAS TANK STORAGE" sheetId="45" state="hidden" r:id="rId9"/>
    <sheet name="LIQUID STORAGE PLATFORM " sheetId="44" state="hidden" r:id="rId10"/>
    <sheet name="FIRE LINE " sheetId="61" state="hidden" r:id="rId11"/>
    <sheet name="HT YARD WITH CABLE TRENCH " sheetId="57" state="hidden" r:id="rId12"/>
    <sheet name="CHIMNEY BOILER  FOUNDATION " sheetId="51" state="hidden" r:id="rId13"/>
    <sheet name="DG FOUNDATION " sheetId="50" state="hidden" r:id="rId14"/>
    <sheet name="PIPE RACK FOUNDATION " sheetId="47" state="hidden" r:id="rId15"/>
    <sheet name="FUEL YARD" sheetId="58" state="hidden" r:id="rId16"/>
    <sheet name="COOLING TOWER " sheetId="38" state="hidden" r:id="rId17"/>
    <sheet name="WEIGH BRIDGE CABIN " sheetId="54" state="hidden" r:id="rId18"/>
    <sheet name="SPECIFICATIONS - ANX 4" sheetId="67" r:id="rId19"/>
    <sheet name="Sheet1" sheetId="68" r:id="rId20"/>
  </sheets>
  <definedNames>
    <definedName name="_xlnm._FilterDatabase" localSheetId="6" hidden="1">'allied infrastructre finishig w'!$A$5:$M$5</definedName>
    <definedName name="_xlnm._FilterDatabase" localSheetId="16" hidden="1">'COOLING TOWER '!$A$6:$N$6</definedName>
    <definedName name="_xlnm._FilterDatabase" localSheetId="15" hidden="1">'FUEL YARD'!$A$6:$N$8</definedName>
    <definedName name="_xlnm._FilterDatabase" localSheetId="8" hidden="1">'GAS TANK STORAGE'!$A$6:$N$9</definedName>
    <definedName name="_xlnm._FilterDatabase" localSheetId="9" hidden="1">'LIQUID STORAGE PLATFORM '!$A$6:$Q$6</definedName>
    <definedName name="_xlnm._FilterDatabase" localSheetId="14" hidden="1">'PIPE RACK FOUNDATION '!$A$5:$M$8</definedName>
    <definedName name="_xlnm._FilterDatabase" localSheetId="7" hidden="1">'PLOT BOUNDARY 103,104'!$A$5:$L$5</definedName>
    <definedName name="_xlnm._FilterDatabase" localSheetId="0" hidden="1">'SUMMARISED BOQ - ANX 1'!$A$5:$AA$232</definedName>
    <definedName name="_xlnm._FilterDatabase" localSheetId="3" hidden="1">'WEIGH BRIDGE '!$A$6:$N$10</definedName>
    <definedName name="_xlnm._FilterDatabase" localSheetId="17" hidden="1">'WEIGH BRIDGE CABIN '!$A$6:$N$47</definedName>
    <definedName name="_xlnm.Print_Area" localSheetId="6">'allied infrastructre finishig w'!$A$1:$M$163</definedName>
    <definedName name="_xlnm.Print_Area" localSheetId="12">'CHIMNEY BOILER  FOUNDATION '!$A$1:$N$148</definedName>
    <definedName name="_xlnm.Print_Area" localSheetId="16">'COOLING TOWER '!$A$1:$N$235</definedName>
    <definedName name="_xlnm.Print_Area" localSheetId="13">'DG FOUNDATION '!$A$1:$M$112</definedName>
    <definedName name="_xlnm.Print_Area" localSheetId="5">'ELECTRICAL LINE FOUNDATION '!$A$1:$M$82</definedName>
    <definedName name="_xlnm.Print_Area" localSheetId="10">'FIRE LINE '!$A$1:$M$93</definedName>
    <definedName name="_xlnm.Print_Area" localSheetId="8">'GAS TANK STORAGE'!$A$1:$M$73</definedName>
    <definedName name="_xlnm.Print_Area" localSheetId="11">'HT YARD WITH CABLE TRENCH '!$A$1:$J$70</definedName>
    <definedName name="_xlnm.Print_Area" localSheetId="9">'LIQUID STORAGE PLATFORM '!$A$1:$M$80</definedName>
    <definedName name="_xlnm.Print_Area" localSheetId="4">'PARKING '!$A$1:$M$125</definedName>
    <definedName name="_xlnm.Print_Area" localSheetId="14">'PIPE RACK FOUNDATION '!$A$1:$M$70</definedName>
    <definedName name="_xlnm.Print_Area" localSheetId="7">'PLOT BOUNDARY 103,104'!$A$1:$L$49</definedName>
    <definedName name="_xlnm.Print_Area" localSheetId="2">'SCOPE OF WORK - ANX 3'!$A$1:$G$22</definedName>
    <definedName name="_xlnm.Print_Area" localSheetId="0">'SUMMARISED BOQ - ANX 1'!$A$1:$Y$251</definedName>
    <definedName name="_xlnm.Print_Area" localSheetId="3">'WEIGH BRIDGE '!$A$1:$N$82</definedName>
    <definedName name="_xlnm.Print_Titles" localSheetId="0">'SUMMARISED BOQ - ANX 1'!$1:$4</definedName>
  </definedNames>
  <calcPr calcId="144525"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33" i="65" l="1"/>
  <c r="L28" i="65"/>
  <c r="U14" i="65"/>
  <c r="H138" i="65"/>
  <c r="U138" i="65"/>
  <c r="W138" i="65"/>
  <c r="U137" i="65"/>
  <c r="W137" i="65"/>
  <c r="U7" i="65"/>
  <c r="W7" i="65"/>
  <c r="U8" i="65"/>
  <c r="W8" i="65"/>
  <c r="G5" i="68"/>
  <c r="G4" i="68"/>
  <c r="J4" i="68"/>
  <c r="H3" i="68"/>
  <c r="G3" i="68"/>
  <c r="G2" i="68"/>
  <c r="J2" i="68"/>
  <c r="J5" i="68"/>
  <c r="J3" i="68"/>
  <c r="J7" i="68"/>
  <c r="I152" i="54"/>
  <c r="L152" i="54"/>
  <c r="E151" i="54"/>
  <c r="C151" i="54"/>
  <c r="L149" i="54"/>
  <c r="L148" i="54"/>
  <c r="L147" i="54"/>
  <c r="L146" i="54"/>
  <c r="L145" i="54"/>
  <c r="L144" i="54"/>
  <c r="L143" i="54"/>
  <c r="L142" i="54"/>
  <c r="L141" i="54"/>
  <c r="L140" i="54"/>
  <c r="L137" i="54"/>
  <c r="L134" i="54"/>
  <c r="L131" i="54"/>
  <c r="G128" i="54"/>
  <c r="F128" i="54"/>
  <c r="C126" i="54"/>
  <c r="L124" i="54"/>
  <c r="L123" i="54"/>
  <c r="H120" i="54"/>
  <c r="H129" i="54"/>
  <c r="H151" i="54"/>
  <c r="F120" i="54"/>
  <c r="F129" i="54"/>
  <c r="C120" i="54"/>
  <c r="C129" i="54"/>
  <c r="H119" i="54"/>
  <c r="H128" i="54"/>
  <c r="F119" i="54"/>
  <c r="E119" i="54"/>
  <c r="C119" i="54"/>
  <c r="C128" i="54"/>
  <c r="C118" i="54"/>
  <c r="C127" i="54"/>
  <c r="H117" i="54"/>
  <c r="H126" i="54"/>
  <c r="E117" i="54"/>
  <c r="E126" i="54"/>
  <c r="C117" i="54"/>
  <c r="L115" i="54"/>
  <c r="L114" i="54"/>
  <c r="L113" i="54"/>
  <c r="L112" i="54"/>
  <c r="I110" i="54"/>
  <c r="I109" i="54"/>
  <c r="H107" i="54"/>
  <c r="L105" i="54"/>
  <c r="L104" i="54"/>
  <c r="L103" i="54"/>
  <c r="L100" i="54"/>
  <c r="L98" i="54"/>
  <c r="I97" i="54"/>
  <c r="G96" i="54"/>
  <c r="F96" i="54"/>
  <c r="I95" i="54"/>
  <c r="F94" i="54"/>
  <c r="F107" i="54"/>
  <c r="F117" i="54"/>
  <c r="F126" i="54"/>
  <c r="I92" i="54"/>
  <c r="H91" i="54"/>
  <c r="H73" i="54"/>
  <c r="L89" i="54"/>
  <c r="L88" i="54"/>
  <c r="I86" i="54"/>
  <c r="G85" i="54"/>
  <c r="F85" i="54"/>
  <c r="H83" i="54"/>
  <c r="H54" i="54"/>
  <c r="E83" i="54"/>
  <c r="E85" i="54"/>
  <c r="I81" i="54"/>
  <c r="I80" i="54"/>
  <c r="I79" i="54"/>
  <c r="I78" i="54"/>
  <c r="F78" i="54"/>
  <c r="L76" i="54"/>
  <c r="L75" i="54"/>
  <c r="F73" i="54"/>
  <c r="H69" i="54"/>
  <c r="E69" i="54"/>
  <c r="I69" i="54"/>
  <c r="C69" i="54"/>
  <c r="H66" i="54"/>
  <c r="E66" i="54"/>
  <c r="E67" i="54"/>
  <c r="I67" i="54"/>
  <c r="C66" i="54"/>
  <c r="L63" i="54"/>
  <c r="H61" i="54"/>
  <c r="E61" i="54"/>
  <c r="H60" i="54"/>
  <c r="F60" i="54"/>
  <c r="E60" i="54"/>
  <c r="C60" i="54"/>
  <c r="H56" i="54"/>
  <c r="C56" i="54"/>
  <c r="F54" i="54"/>
  <c r="E54" i="54"/>
  <c r="I54" i="54"/>
  <c r="C54" i="54"/>
  <c r="H52" i="54"/>
  <c r="F52" i="54"/>
  <c r="E52" i="54"/>
  <c r="I52" i="54"/>
  <c r="C52" i="54"/>
  <c r="L50" i="54"/>
  <c r="L49" i="54"/>
  <c r="I47" i="54"/>
  <c r="I46" i="54"/>
  <c r="L46" i="54"/>
  <c r="I45" i="54"/>
  <c r="G44" i="54"/>
  <c r="I44" i="54"/>
  <c r="I43" i="54"/>
  <c r="G43" i="54"/>
  <c r="G42" i="54"/>
  <c r="E42" i="54"/>
  <c r="L40" i="54"/>
  <c r="I39" i="54"/>
  <c r="I37" i="54"/>
  <c r="I38" i="54"/>
  <c r="L33" i="54"/>
  <c r="H31" i="54"/>
  <c r="I31" i="54"/>
  <c r="H30" i="54"/>
  <c r="I30" i="54"/>
  <c r="I27" i="54"/>
  <c r="L25" i="54"/>
  <c r="L18" i="54"/>
  <c r="L16" i="54"/>
  <c r="L13" i="54"/>
  <c r="I11" i="54"/>
  <c r="I10" i="54"/>
  <c r="G9" i="54"/>
  <c r="F9" i="54"/>
  <c r="L216" i="38"/>
  <c r="K216" i="38"/>
  <c r="L215" i="38"/>
  <c r="L214" i="38"/>
  <c r="L213" i="38"/>
  <c r="L212" i="38"/>
  <c r="L211" i="38"/>
  <c r="L210" i="38"/>
  <c r="L209" i="38"/>
  <c r="L208" i="38"/>
  <c r="L207" i="38"/>
  <c r="L205" i="38"/>
  <c r="L203" i="38"/>
  <c r="G195" i="38"/>
  <c r="G194" i="38"/>
  <c r="G193" i="38"/>
  <c r="H191" i="38"/>
  <c r="E191" i="38"/>
  <c r="H190" i="38"/>
  <c r="E190" i="38"/>
  <c r="H189" i="38"/>
  <c r="E189" i="38"/>
  <c r="H188" i="38"/>
  <c r="E188" i="38"/>
  <c r="H187" i="38"/>
  <c r="E187" i="38"/>
  <c r="H186" i="38"/>
  <c r="E186" i="38"/>
  <c r="H184" i="38"/>
  <c r="F184" i="38"/>
  <c r="E184" i="38"/>
  <c r="H183" i="38"/>
  <c r="F183" i="38"/>
  <c r="E183" i="38"/>
  <c r="I183" i="38"/>
  <c r="H182" i="38"/>
  <c r="F182" i="38"/>
  <c r="E182" i="38"/>
  <c r="H181" i="38"/>
  <c r="E181" i="38"/>
  <c r="H180" i="38"/>
  <c r="F180" i="38"/>
  <c r="E180" i="38"/>
  <c r="I180" i="38"/>
  <c r="H179" i="38"/>
  <c r="F179" i="38"/>
  <c r="E179" i="38"/>
  <c r="C179" i="38"/>
  <c r="L176" i="38"/>
  <c r="L175" i="38"/>
  <c r="I173" i="38"/>
  <c r="L173" i="38"/>
  <c r="L168" i="38"/>
  <c r="L167" i="38"/>
  <c r="E164" i="38"/>
  <c r="I164" i="38"/>
  <c r="I151" i="38"/>
  <c r="G150" i="38"/>
  <c r="F158" i="38"/>
  <c r="F150" i="38"/>
  <c r="F199" i="38"/>
  <c r="G149" i="38"/>
  <c r="G198" i="38"/>
  <c r="F149" i="38"/>
  <c r="F198" i="38"/>
  <c r="I198" i="38"/>
  <c r="G148" i="38"/>
  <c r="G197" i="38"/>
  <c r="F148" i="38"/>
  <c r="F197" i="38"/>
  <c r="I197" i="38"/>
  <c r="I146" i="38"/>
  <c r="I145" i="38"/>
  <c r="I144" i="38"/>
  <c r="F143" i="38"/>
  <c r="I142" i="38"/>
  <c r="I141" i="38"/>
  <c r="I140" i="38"/>
  <c r="I139" i="38"/>
  <c r="I138" i="38"/>
  <c r="I137" i="38"/>
  <c r="F137" i="38"/>
  <c r="I136" i="38"/>
  <c r="I135" i="38"/>
  <c r="G130" i="38"/>
  <c r="G134" i="38"/>
  <c r="F130" i="38"/>
  <c r="G129" i="38"/>
  <c r="G133" i="38"/>
  <c r="F129" i="38"/>
  <c r="G128" i="38"/>
  <c r="G132" i="38"/>
  <c r="F128" i="38"/>
  <c r="L126" i="38"/>
  <c r="L125" i="38"/>
  <c r="G123" i="38"/>
  <c r="F123" i="38"/>
  <c r="F76" i="38"/>
  <c r="E123" i="38"/>
  <c r="G122" i="38"/>
  <c r="F122" i="38"/>
  <c r="E122" i="38"/>
  <c r="G121" i="38"/>
  <c r="F121" i="38"/>
  <c r="F74" i="38"/>
  <c r="E121" i="38"/>
  <c r="G120" i="38"/>
  <c r="F120" i="38"/>
  <c r="F73" i="38"/>
  <c r="E120" i="38"/>
  <c r="G119" i="38"/>
  <c r="F119" i="38"/>
  <c r="F72" i="38"/>
  <c r="E119" i="38"/>
  <c r="G118" i="38"/>
  <c r="F118" i="38"/>
  <c r="E118" i="38"/>
  <c r="H113" i="38"/>
  <c r="H64" i="38"/>
  <c r="H112" i="38"/>
  <c r="H63" i="38"/>
  <c r="H111" i="38"/>
  <c r="L106" i="38"/>
  <c r="L105" i="38"/>
  <c r="L104" i="38"/>
  <c r="H100" i="38"/>
  <c r="F100" i="38"/>
  <c r="E100" i="38"/>
  <c r="H99" i="38"/>
  <c r="H98" i="38"/>
  <c r="H97" i="38"/>
  <c r="H92" i="38"/>
  <c r="F92" i="38"/>
  <c r="E92" i="38"/>
  <c r="H91" i="38"/>
  <c r="F91" i="38"/>
  <c r="E91" i="38"/>
  <c r="H90" i="38"/>
  <c r="F90" i="38"/>
  <c r="E90" i="38"/>
  <c r="H89" i="38"/>
  <c r="F89" i="38"/>
  <c r="E89" i="38"/>
  <c r="H88" i="38"/>
  <c r="F88" i="38"/>
  <c r="E88" i="38"/>
  <c r="H87" i="38"/>
  <c r="F87" i="38"/>
  <c r="E87" i="38"/>
  <c r="C87" i="38"/>
  <c r="L86" i="38"/>
  <c r="I86" i="38"/>
  <c r="G85" i="38"/>
  <c r="G84" i="38"/>
  <c r="G83" i="38"/>
  <c r="G82" i="38"/>
  <c r="F82" i="38"/>
  <c r="E82" i="38"/>
  <c r="G81" i="38"/>
  <c r="G80" i="38"/>
  <c r="F80" i="38"/>
  <c r="G79" i="38"/>
  <c r="F79" i="38"/>
  <c r="I79" i="38"/>
  <c r="H76" i="38"/>
  <c r="H75" i="38"/>
  <c r="F75" i="38"/>
  <c r="H74" i="38"/>
  <c r="H73" i="38"/>
  <c r="H72" i="38"/>
  <c r="H71" i="38"/>
  <c r="F71" i="38"/>
  <c r="H67" i="38"/>
  <c r="F67" i="38"/>
  <c r="H66" i="38"/>
  <c r="F66" i="38"/>
  <c r="H65" i="38"/>
  <c r="F65" i="38"/>
  <c r="F64" i="38"/>
  <c r="F63" i="38"/>
  <c r="H62" i="38"/>
  <c r="F62" i="38"/>
  <c r="H61" i="38"/>
  <c r="H60" i="38"/>
  <c r="H59" i="38"/>
  <c r="C59" i="38"/>
  <c r="L57" i="38"/>
  <c r="L56" i="38"/>
  <c r="I54" i="38"/>
  <c r="I53" i="38"/>
  <c r="L53" i="38"/>
  <c r="F51" i="38"/>
  <c r="E51" i="38"/>
  <c r="F50" i="38"/>
  <c r="E50" i="38"/>
  <c r="F49" i="38"/>
  <c r="E49" i="38"/>
  <c r="F48" i="38"/>
  <c r="E48" i="38"/>
  <c r="F47" i="38"/>
  <c r="E47" i="38"/>
  <c r="F46" i="38"/>
  <c r="E46" i="38"/>
  <c r="F42" i="38"/>
  <c r="F108" i="38"/>
  <c r="L40" i="38"/>
  <c r="L39" i="38"/>
  <c r="L38" i="38"/>
  <c r="L30" i="38"/>
  <c r="L29" i="38"/>
  <c r="L27" i="38"/>
  <c r="L25" i="38"/>
  <c r="L20" i="38"/>
  <c r="G18" i="38"/>
  <c r="I17" i="38"/>
  <c r="G17" i="38"/>
  <c r="G50" i="38"/>
  <c r="G16" i="38"/>
  <c r="G15" i="38"/>
  <c r="G48" i="38"/>
  <c r="G14" i="38"/>
  <c r="G13" i="38"/>
  <c r="G46" i="38"/>
  <c r="I46" i="38"/>
  <c r="G11" i="38"/>
  <c r="F11" i="38"/>
  <c r="F44" i="38"/>
  <c r="F110" i="38"/>
  <c r="E11" i="38"/>
  <c r="E44" i="38"/>
  <c r="E110" i="38"/>
  <c r="G10" i="38"/>
  <c r="F10" i="38"/>
  <c r="F23" i="38"/>
  <c r="E10" i="38"/>
  <c r="E43" i="38"/>
  <c r="G9" i="38"/>
  <c r="F9" i="38"/>
  <c r="F22" i="38"/>
  <c r="E9" i="38"/>
  <c r="E42" i="38"/>
  <c r="H132" i="58"/>
  <c r="C132" i="58"/>
  <c r="H131" i="58"/>
  <c r="C131" i="58"/>
  <c r="L129" i="58"/>
  <c r="L128" i="58"/>
  <c r="L127" i="58"/>
  <c r="L126" i="58"/>
  <c r="F122" i="58"/>
  <c r="F121" i="58"/>
  <c r="F131" i="58"/>
  <c r="E121" i="58"/>
  <c r="E131" i="58"/>
  <c r="L119" i="58"/>
  <c r="I117" i="58"/>
  <c r="L117" i="58"/>
  <c r="I115" i="58"/>
  <c r="I114" i="58"/>
  <c r="F115" i="58"/>
  <c r="L112" i="58"/>
  <c r="L111" i="58"/>
  <c r="K111" i="58"/>
  <c r="L110" i="58"/>
  <c r="L109" i="58"/>
  <c r="L108" i="58"/>
  <c r="L107" i="58"/>
  <c r="L106" i="58"/>
  <c r="L105" i="58"/>
  <c r="L104" i="58"/>
  <c r="L102" i="58"/>
  <c r="L101" i="58"/>
  <c r="L98" i="58"/>
  <c r="L97" i="58"/>
  <c r="I95" i="58"/>
  <c r="L94" i="58"/>
  <c r="I93" i="58"/>
  <c r="L93" i="58"/>
  <c r="I92" i="58"/>
  <c r="I91" i="58"/>
  <c r="I90" i="58"/>
  <c r="H90" i="58"/>
  <c r="I89" i="58"/>
  <c r="I87" i="58"/>
  <c r="F87" i="58"/>
  <c r="E87" i="58"/>
  <c r="F86" i="58"/>
  <c r="F64" i="58"/>
  <c r="E86" i="58"/>
  <c r="I86" i="58"/>
  <c r="I85" i="58"/>
  <c r="I84" i="58"/>
  <c r="I83" i="58"/>
  <c r="F82" i="58"/>
  <c r="I82" i="58"/>
  <c r="G81" i="58"/>
  <c r="F81" i="58"/>
  <c r="I81" i="58"/>
  <c r="E81" i="58"/>
  <c r="I80" i="58"/>
  <c r="F80" i="58"/>
  <c r="F58" i="58"/>
  <c r="L78" i="58"/>
  <c r="L77" i="58"/>
  <c r="I74" i="58"/>
  <c r="L74" i="58"/>
  <c r="L72" i="58"/>
  <c r="H70" i="58"/>
  <c r="F70" i="58"/>
  <c r="E70" i="58"/>
  <c r="I70" i="58"/>
  <c r="C70" i="58"/>
  <c r="G69" i="58"/>
  <c r="F69" i="58"/>
  <c r="C69" i="58"/>
  <c r="F68" i="58"/>
  <c r="E68" i="58"/>
  <c r="I68" i="58"/>
  <c r="G67" i="58"/>
  <c r="F67" i="58"/>
  <c r="E67" i="58"/>
  <c r="C67" i="58"/>
  <c r="C66" i="58"/>
  <c r="H65" i="58"/>
  <c r="F65" i="58"/>
  <c r="E65" i="58"/>
  <c r="C65" i="58"/>
  <c r="I64" i="58"/>
  <c r="H64" i="58"/>
  <c r="E64" i="58"/>
  <c r="C64" i="58"/>
  <c r="H63" i="58"/>
  <c r="F63" i="58"/>
  <c r="I63" i="58"/>
  <c r="C63" i="58"/>
  <c r="H62" i="58"/>
  <c r="G62" i="58"/>
  <c r="F62" i="58"/>
  <c r="E62" i="58"/>
  <c r="C62" i="58"/>
  <c r="H61" i="58"/>
  <c r="E61" i="58"/>
  <c r="C61" i="58"/>
  <c r="H60" i="58"/>
  <c r="E60" i="58"/>
  <c r="C60" i="58"/>
  <c r="H58" i="58"/>
  <c r="E58" i="58"/>
  <c r="C58" i="58"/>
  <c r="L56" i="58"/>
  <c r="I54" i="58"/>
  <c r="I53" i="58"/>
  <c r="L53" i="58"/>
  <c r="I49" i="58"/>
  <c r="I48" i="58"/>
  <c r="L48" i="58"/>
  <c r="I46" i="58"/>
  <c r="G45" i="58"/>
  <c r="F45" i="58"/>
  <c r="I45" i="58"/>
  <c r="I44" i="58"/>
  <c r="I43" i="58"/>
  <c r="L42" i="58"/>
  <c r="I40" i="58"/>
  <c r="I39" i="58"/>
  <c r="L39" i="58"/>
  <c r="L35" i="58"/>
  <c r="I33" i="58"/>
  <c r="I32" i="58"/>
  <c r="L31" i="58"/>
  <c r="I31" i="58"/>
  <c r="L30" i="58"/>
  <c r="L29" i="58"/>
  <c r="L27" i="58"/>
  <c r="L25" i="58"/>
  <c r="L24" i="58"/>
  <c r="E20" i="58"/>
  <c r="L19" i="58"/>
  <c r="L18" i="58"/>
  <c r="L17" i="58"/>
  <c r="G14" i="58"/>
  <c r="F14" i="58"/>
  <c r="I14" i="58"/>
  <c r="E14" i="58"/>
  <c r="I12" i="58"/>
  <c r="G12" i="58"/>
  <c r="F12" i="58"/>
  <c r="F11" i="58"/>
  <c r="I11" i="58"/>
  <c r="I10" i="58"/>
  <c r="F10" i="58"/>
  <c r="F20" i="58"/>
  <c r="K56" i="47"/>
  <c r="H56" i="47"/>
  <c r="K55" i="47"/>
  <c r="K54" i="47"/>
  <c r="K51" i="47"/>
  <c r="K50" i="47"/>
  <c r="K48" i="47"/>
  <c r="H48" i="47"/>
  <c r="K47" i="47"/>
  <c r="K46" i="47"/>
  <c r="F44" i="47"/>
  <c r="E36" i="47"/>
  <c r="E44" i="47"/>
  <c r="G42" i="47"/>
  <c r="G34" i="47"/>
  <c r="K38" i="47"/>
  <c r="K37" i="47"/>
  <c r="G36" i="47"/>
  <c r="E34" i="47"/>
  <c r="G32" i="47"/>
  <c r="B32" i="47"/>
  <c r="K30" i="47"/>
  <c r="K26" i="47"/>
  <c r="K25" i="47"/>
  <c r="K23" i="47"/>
  <c r="H22" i="47"/>
  <c r="K17" i="47"/>
  <c r="K16" i="47"/>
  <c r="K15" i="47"/>
  <c r="K14" i="47"/>
  <c r="K12" i="47"/>
  <c r="K11" i="47"/>
  <c r="K10" i="47"/>
  <c r="F8" i="47"/>
  <c r="F13" i="47"/>
  <c r="E8" i="47"/>
  <c r="E28" i="47"/>
  <c r="E40" i="47"/>
  <c r="D8" i="47"/>
  <c r="D28" i="47"/>
  <c r="K92" i="50"/>
  <c r="J92" i="50"/>
  <c r="J91" i="50"/>
  <c r="H91" i="50"/>
  <c r="K91" i="50"/>
  <c r="H90" i="50"/>
  <c r="K90" i="50"/>
  <c r="K89" i="50"/>
  <c r="K88" i="50"/>
  <c r="K87" i="50"/>
  <c r="K86" i="50"/>
  <c r="K85" i="50"/>
  <c r="H84" i="50"/>
  <c r="H83" i="50"/>
  <c r="K82" i="50"/>
  <c r="G76" i="50"/>
  <c r="G75" i="50"/>
  <c r="D75" i="50"/>
  <c r="B75" i="50"/>
  <c r="K73" i="50"/>
  <c r="K72" i="50"/>
  <c r="K71" i="50"/>
  <c r="K70" i="50"/>
  <c r="H67" i="50"/>
  <c r="E67" i="50"/>
  <c r="E75" i="50"/>
  <c r="K65" i="50"/>
  <c r="K62" i="50"/>
  <c r="K61" i="50"/>
  <c r="H59" i="50"/>
  <c r="K58" i="50"/>
  <c r="K57" i="50"/>
  <c r="H56" i="50"/>
  <c r="K52" i="50"/>
  <c r="K51" i="50"/>
  <c r="G49" i="50"/>
  <c r="D49" i="50"/>
  <c r="B49" i="50"/>
  <c r="K47" i="50"/>
  <c r="K46" i="50"/>
  <c r="H44" i="50"/>
  <c r="H43" i="50"/>
  <c r="K43" i="50"/>
  <c r="D41" i="50"/>
  <c r="D54" i="50"/>
  <c r="K39" i="50"/>
  <c r="H38" i="50"/>
  <c r="H37" i="50"/>
  <c r="H36" i="50"/>
  <c r="K36" i="50"/>
  <c r="K35" i="50"/>
  <c r="K34" i="50"/>
  <c r="K33" i="50"/>
  <c r="K32" i="50"/>
  <c r="K27" i="50"/>
  <c r="K26" i="50"/>
  <c r="K24" i="50"/>
  <c r="K19" i="50"/>
  <c r="K18" i="50"/>
  <c r="K17" i="50"/>
  <c r="K16" i="50"/>
  <c r="K15" i="50"/>
  <c r="K14" i="50"/>
  <c r="K13" i="50"/>
  <c r="K12" i="50"/>
  <c r="F10" i="50"/>
  <c r="F42" i="50"/>
  <c r="F55" i="50"/>
  <c r="E10" i="50"/>
  <c r="F9" i="50"/>
  <c r="F41" i="50"/>
  <c r="F54" i="50"/>
  <c r="E9" i="50"/>
  <c r="E41" i="50"/>
  <c r="E54" i="50"/>
  <c r="L135" i="51"/>
  <c r="K135" i="51"/>
  <c r="L134" i="51"/>
  <c r="L131" i="51"/>
  <c r="L130" i="51"/>
  <c r="L128" i="51"/>
  <c r="I128" i="51"/>
  <c r="L127" i="51"/>
  <c r="L126" i="51"/>
  <c r="H124" i="51"/>
  <c r="F124" i="51"/>
  <c r="H123" i="51"/>
  <c r="F123" i="51"/>
  <c r="H122" i="51"/>
  <c r="F122" i="51"/>
  <c r="H121" i="51"/>
  <c r="F121" i="51"/>
  <c r="K119" i="51"/>
  <c r="G119" i="51"/>
  <c r="F119" i="51"/>
  <c r="K118" i="51"/>
  <c r="G118" i="51"/>
  <c r="F118" i="51"/>
  <c r="K117" i="51"/>
  <c r="G117" i="51"/>
  <c r="F117" i="51"/>
  <c r="K116" i="51"/>
  <c r="G116" i="51"/>
  <c r="F116" i="51"/>
  <c r="E116" i="51"/>
  <c r="I103" i="51"/>
  <c r="I102" i="51"/>
  <c r="I101" i="51"/>
  <c r="I100" i="51"/>
  <c r="G100" i="51"/>
  <c r="I98" i="51"/>
  <c r="L94" i="51"/>
  <c r="L93" i="51"/>
  <c r="L92" i="51"/>
  <c r="L91" i="51"/>
  <c r="I89" i="51"/>
  <c r="I88" i="51"/>
  <c r="L88" i="51"/>
  <c r="L85" i="51"/>
  <c r="I85" i="51"/>
  <c r="L83" i="51"/>
  <c r="I79" i="51"/>
  <c r="L79" i="51"/>
  <c r="H75" i="51"/>
  <c r="B75" i="51"/>
  <c r="H74" i="51"/>
  <c r="H73" i="51"/>
  <c r="H72" i="51"/>
  <c r="H71" i="51"/>
  <c r="F71" i="51"/>
  <c r="H70" i="51"/>
  <c r="H69" i="51"/>
  <c r="H68" i="51"/>
  <c r="H67" i="51"/>
  <c r="H66" i="51"/>
  <c r="F66" i="51"/>
  <c r="H65" i="51"/>
  <c r="F65" i="51"/>
  <c r="I64" i="51"/>
  <c r="H64" i="51"/>
  <c r="F64" i="51"/>
  <c r="H63" i="51"/>
  <c r="F63" i="51"/>
  <c r="H62" i="51"/>
  <c r="F62" i="51"/>
  <c r="I62" i="51"/>
  <c r="H60" i="51"/>
  <c r="F60" i="51"/>
  <c r="E60" i="51"/>
  <c r="I60" i="51"/>
  <c r="H59" i="51"/>
  <c r="L57" i="51"/>
  <c r="L56" i="51"/>
  <c r="I54" i="51"/>
  <c r="I53" i="51"/>
  <c r="L53" i="51"/>
  <c r="B49" i="51"/>
  <c r="B70" i="51"/>
  <c r="B48" i="51"/>
  <c r="B69" i="51"/>
  <c r="B74" i="51"/>
  <c r="F47" i="51"/>
  <c r="F106" i="51"/>
  <c r="F111" i="51"/>
  <c r="B47" i="51"/>
  <c r="B68" i="51"/>
  <c r="B73" i="51"/>
  <c r="F46" i="51"/>
  <c r="F105" i="51"/>
  <c r="B46" i="51"/>
  <c r="B67" i="51"/>
  <c r="B72" i="51"/>
  <c r="E45" i="51"/>
  <c r="E96" i="51"/>
  <c r="L43" i="51"/>
  <c r="I42" i="51"/>
  <c r="I41" i="51"/>
  <c r="I40" i="51"/>
  <c r="L40" i="51"/>
  <c r="L39" i="51"/>
  <c r="L38" i="51"/>
  <c r="L37" i="51"/>
  <c r="L36" i="51"/>
  <c r="I34" i="51"/>
  <c r="I33" i="51"/>
  <c r="L33" i="51"/>
  <c r="L32" i="51"/>
  <c r="L31" i="51"/>
  <c r="L29" i="51"/>
  <c r="I28" i="51"/>
  <c r="L23" i="51"/>
  <c r="L22" i="51"/>
  <c r="L21" i="51"/>
  <c r="L20" i="51"/>
  <c r="L19" i="51"/>
  <c r="L18" i="51"/>
  <c r="L17" i="51"/>
  <c r="L16" i="51"/>
  <c r="G13" i="51"/>
  <c r="G49" i="51"/>
  <c r="G108" i="51"/>
  <c r="E119" i="51"/>
  <c r="F13" i="51"/>
  <c r="F49" i="51"/>
  <c r="G12" i="51"/>
  <c r="F12" i="51"/>
  <c r="F48" i="51"/>
  <c r="F107" i="51"/>
  <c r="G11" i="51"/>
  <c r="G47" i="51"/>
  <c r="G106" i="51"/>
  <c r="E117" i="51"/>
  <c r="I10" i="51"/>
  <c r="G10" i="51"/>
  <c r="G46" i="51"/>
  <c r="G105" i="51"/>
  <c r="G9" i="51"/>
  <c r="G45" i="51"/>
  <c r="G96" i="51"/>
  <c r="F9" i="51"/>
  <c r="J68" i="57"/>
  <c r="H67" i="57"/>
  <c r="J67" i="57"/>
  <c r="J66" i="57"/>
  <c r="G65" i="57"/>
  <c r="H65" i="57"/>
  <c r="J64" i="57"/>
  <c r="J63" i="57"/>
  <c r="H63" i="57"/>
  <c r="H62" i="57"/>
  <c r="J62" i="57"/>
  <c r="J61" i="57"/>
  <c r="J60" i="57"/>
  <c r="J56" i="57"/>
  <c r="H50" i="57"/>
  <c r="J50" i="57"/>
  <c r="B47" i="57"/>
  <c r="H46" i="57"/>
  <c r="H45" i="57"/>
  <c r="J43" i="57"/>
  <c r="G41" i="57"/>
  <c r="H41" i="57"/>
  <c r="E41" i="57"/>
  <c r="D41" i="57"/>
  <c r="B41" i="57"/>
  <c r="G40" i="57"/>
  <c r="E40" i="57"/>
  <c r="D40" i="57"/>
  <c r="J38" i="57"/>
  <c r="J37" i="57"/>
  <c r="H36" i="57"/>
  <c r="J36" i="57"/>
  <c r="H35" i="57"/>
  <c r="O40" i="65"/>
  <c r="AJ40" i="65"/>
  <c r="D34" i="57"/>
  <c r="B34" i="57"/>
  <c r="D33" i="57"/>
  <c r="B33" i="57"/>
  <c r="B46" i="57"/>
  <c r="D32" i="57"/>
  <c r="B32" i="57"/>
  <c r="B45" i="57"/>
  <c r="B40" i="57"/>
  <c r="G30" i="57"/>
  <c r="H30" i="57"/>
  <c r="J30" i="57"/>
  <c r="E30" i="57"/>
  <c r="J29" i="57"/>
  <c r="J28" i="57"/>
  <c r="J27" i="57"/>
  <c r="J26" i="57"/>
  <c r="J25" i="57"/>
  <c r="J17" i="57"/>
  <c r="G13" i="57"/>
  <c r="F13" i="57"/>
  <c r="F34" i="57"/>
  <c r="F47" i="57"/>
  <c r="E13" i="57"/>
  <c r="E34" i="57"/>
  <c r="E47" i="57"/>
  <c r="F12" i="57"/>
  <c r="F33" i="57"/>
  <c r="E12" i="57"/>
  <c r="H12" i="57"/>
  <c r="F11" i="57"/>
  <c r="F32" i="57"/>
  <c r="E11" i="57"/>
  <c r="E32" i="57"/>
  <c r="H10" i="57"/>
  <c r="K74" i="61"/>
  <c r="K73" i="61"/>
  <c r="H71" i="61"/>
  <c r="K71" i="61"/>
  <c r="K70" i="61"/>
  <c r="K69" i="61"/>
  <c r="K64" i="61"/>
  <c r="K63" i="61"/>
  <c r="K62" i="61"/>
  <c r="K61" i="61"/>
  <c r="H59" i="61"/>
  <c r="H58" i="61"/>
  <c r="K58" i="61"/>
  <c r="H55" i="61"/>
  <c r="K55" i="61"/>
  <c r="K53" i="61"/>
  <c r="H49" i="61"/>
  <c r="K49" i="61"/>
  <c r="G46" i="61"/>
  <c r="B46" i="61"/>
  <c r="K44" i="61"/>
  <c r="K43" i="61"/>
  <c r="H41" i="61"/>
  <c r="H40" i="61"/>
  <c r="K40" i="61"/>
  <c r="D38" i="61"/>
  <c r="K36" i="61"/>
  <c r="H35" i="61"/>
  <c r="H34" i="61"/>
  <c r="H33" i="61"/>
  <c r="K33" i="61"/>
  <c r="K32" i="61"/>
  <c r="K31" i="61"/>
  <c r="K30" i="61"/>
  <c r="K29" i="61"/>
  <c r="H27" i="61"/>
  <c r="H26" i="61"/>
  <c r="K26" i="61"/>
  <c r="K25" i="61"/>
  <c r="K24" i="61"/>
  <c r="K22" i="61"/>
  <c r="H21" i="61"/>
  <c r="K16" i="61"/>
  <c r="K15" i="61"/>
  <c r="K14" i="61"/>
  <c r="K13" i="61"/>
  <c r="K12" i="61"/>
  <c r="K11" i="61"/>
  <c r="K9" i="61"/>
  <c r="F7" i="61"/>
  <c r="F38" i="61"/>
  <c r="F66" i="61"/>
  <c r="E7" i="61"/>
  <c r="E38" i="61"/>
  <c r="E66" i="61"/>
  <c r="E46" i="61"/>
  <c r="D7" i="61"/>
  <c r="H77" i="44"/>
  <c r="J76" i="44"/>
  <c r="H76" i="44"/>
  <c r="K76" i="44"/>
  <c r="H75" i="44"/>
  <c r="K75" i="44"/>
  <c r="K74" i="44"/>
  <c r="K73" i="44"/>
  <c r="K72" i="44"/>
  <c r="K71" i="44"/>
  <c r="K70" i="44"/>
  <c r="K68" i="44"/>
  <c r="K67" i="44"/>
  <c r="K66" i="44"/>
  <c r="K65" i="44"/>
  <c r="E62" i="44"/>
  <c r="H62" i="44"/>
  <c r="H61" i="44"/>
  <c r="K60" i="44"/>
  <c r="K59" i="44"/>
  <c r="H57" i="44"/>
  <c r="K57" i="44"/>
  <c r="K56" i="44"/>
  <c r="K55" i="44"/>
  <c r="E52" i="44"/>
  <c r="H52" i="44"/>
  <c r="H51" i="44"/>
  <c r="K50" i="44"/>
  <c r="K49" i="44"/>
  <c r="K48" i="44"/>
  <c r="H47" i="44"/>
  <c r="H45" i="44"/>
  <c r="J45" i="44"/>
  <c r="H46" i="44"/>
  <c r="K46" i="44"/>
  <c r="K44" i="44"/>
  <c r="G43" i="44"/>
  <c r="E43" i="44"/>
  <c r="H43" i="44"/>
  <c r="B43" i="44"/>
  <c r="K41" i="44"/>
  <c r="K40" i="44"/>
  <c r="H39" i="44"/>
  <c r="H38" i="44"/>
  <c r="K38" i="44"/>
  <c r="E36" i="44"/>
  <c r="H36" i="44"/>
  <c r="H35" i="44"/>
  <c r="K34" i="44"/>
  <c r="H33" i="44"/>
  <c r="H32" i="44"/>
  <c r="K32" i="44"/>
  <c r="K31" i="44"/>
  <c r="K30" i="44"/>
  <c r="K29" i="44"/>
  <c r="K28" i="44"/>
  <c r="H27" i="44"/>
  <c r="H26" i="44"/>
  <c r="K24" i="44"/>
  <c r="K23" i="44"/>
  <c r="K21" i="44"/>
  <c r="H20" i="44"/>
  <c r="H18" i="44"/>
  <c r="K18" i="44"/>
  <c r="K13" i="44"/>
  <c r="H12" i="44"/>
  <c r="K12" i="44"/>
  <c r="K11" i="44"/>
  <c r="E9" i="44"/>
  <c r="H9" i="44"/>
  <c r="H8" i="44"/>
  <c r="K8" i="44"/>
  <c r="H62" i="45"/>
  <c r="E61" i="45"/>
  <c r="H61" i="45"/>
  <c r="K60" i="45"/>
  <c r="H59" i="45"/>
  <c r="K59" i="45"/>
  <c r="E59" i="45"/>
  <c r="K58" i="45"/>
  <c r="K57" i="45"/>
  <c r="F56" i="45"/>
  <c r="K54" i="45"/>
  <c r="K48" i="45"/>
  <c r="K47" i="45"/>
  <c r="G46" i="45"/>
  <c r="G45" i="45"/>
  <c r="K43" i="45"/>
  <c r="H42" i="45"/>
  <c r="H41" i="45"/>
  <c r="K41" i="45"/>
  <c r="K40" i="45"/>
  <c r="H39" i="45"/>
  <c r="E38" i="45"/>
  <c r="H38" i="45"/>
  <c r="H37" i="45"/>
  <c r="K36" i="45"/>
  <c r="K33" i="45"/>
  <c r="K32" i="45"/>
  <c r="K31" i="45"/>
  <c r="K30" i="45"/>
  <c r="K27" i="45"/>
  <c r="K26" i="45"/>
  <c r="K24" i="45"/>
  <c r="K18" i="45"/>
  <c r="K17" i="45"/>
  <c r="K16" i="45"/>
  <c r="K15" i="45"/>
  <c r="K14" i="45"/>
  <c r="K13" i="45"/>
  <c r="K12" i="45"/>
  <c r="K11" i="45"/>
  <c r="F9" i="45"/>
  <c r="F29" i="45"/>
  <c r="F35" i="45"/>
  <c r="E9" i="45"/>
  <c r="E29" i="45"/>
  <c r="E35" i="45"/>
  <c r="J47" i="63"/>
  <c r="J46" i="63"/>
  <c r="J45" i="63"/>
  <c r="J44" i="63"/>
  <c r="J43" i="63"/>
  <c r="J42" i="63"/>
  <c r="J41" i="63"/>
  <c r="J40" i="63"/>
  <c r="H36" i="63"/>
  <c r="H39" i="63"/>
  <c r="J31" i="63"/>
  <c r="E27" i="63"/>
  <c r="B27" i="63"/>
  <c r="K25" i="63"/>
  <c r="J25" i="63"/>
  <c r="J24" i="63"/>
  <c r="K22" i="63"/>
  <c r="J22" i="63"/>
  <c r="K21" i="63"/>
  <c r="J21" i="63"/>
  <c r="K20" i="63"/>
  <c r="J20" i="63"/>
  <c r="J19" i="63"/>
  <c r="J17" i="63"/>
  <c r="J14" i="63"/>
  <c r="F10" i="63"/>
  <c r="E10" i="63"/>
  <c r="F8" i="63"/>
  <c r="E8" i="63"/>
  <c r="H8" i="63"/>
  <c r="J8" i="63"/>
  <c r="D8" i="63"/>
  <c r="D10" i="63"/>
  <c r="H160" i="62"/>
  <c r="J160" i="62"/>
  <c r="J159" i="62"/>
  <c r="J158" i="62"/>
  <c r="E155" i="62"/>
  <c r="H155" i="62"/>
  <c r="E154" i="62"/>
  <c r="H154" i="62"/>
  <c r="H151" i="62"/>
  <c r="H150" i="62"/>
  <c r="F148" i="62"/>
  <c r="E148" i="62"/>
  <c r="H148" i="62"/>
  <c r="D146" i="62"/>
  <c r="F143" i="62"/>
  <c r="J139" i="62"/>
  <c r="J138" i="62"/>
  <c r="J135" i="62"/>
  <c r="J134" i="62"/>
  <c r="H133" i="62"/>
  <c r="H132" i="62"/>
  <c r="J132" i="62"/>
  <c r="J131" i="62"/>
  <c r="J130" i="62"/>
  <c r="G127" i="62"/>
  <c r="J120" i="62"/>
  <c r="J119" i="62"/>
  <c r="G117" i="62"/>
  <c r="D116" i="62"/>
  <c r="G112" i="62"/>
  <c r="G111" i="62"/>
  <c r="D108" i="62"/>
  <c r="D125" i="62"/>
  <c r="B108" i="62"/>
  <c r="B125" i="62"/>
  <c r="B129" i="62"/>
  <c r="D107" i="62"/>
  <c r="D124" i="62"/>
  <c r="D112" i="62"/>
  <c r="B107" i="62"/>
  <c r="B124" i="62"/>
  <c r="B112" i="62"/>
  <c r="D106" i="62"/>
  <c r="D123" i="62"/>
  <c r="B106" i="62"/>
  <c r="B123" i="62"/>
  <c r="B111" i="62"/>
  <c r="B105" i="62"/>
  <c r="B126" i="62"/>
  <c r="B115" i="62"/>
  <c r="J103" i="62"/>
  <c r="J102" i="62"/>
  <c r="J101" i="62"/>
  <c r="J100" i="62"/>
  <c r="J99" i="62"/>
  <c r="J98" i="62"/>
  <c r="J96" i="62"/>
  <c r="J95" i="62"/>
  <c r="F88" i="62"/>
  <c r="E88" i="62"/>
  <c r="E87" i="62"/>
  <c r="D87" i="62"/>
  <c r="B87" i="62"/>
  <c r="B86" i="62"/>
  <c r="J84" i="62"/>
  <c r="G83" i="62"/>
  <c r="F83" i="62"/>
  <c r="F108" i="62"/>
  <c r="F125" i="62"/>
  <c r="E83" i="62"/>
  <c r="E108" i="62"/>
  <c r="F82" i="62"/>
  <c r="F107" i="62"/>
  <c r="F124" i="62"/>
  <c r="E82" i="62"/>
  <c r="E107" i="62"/>
  <c r="E124" i="62"/>
  <c r="G81" i="62"/>
  <c r="F81" i="62"/>
  <c r="F106" i="62"/>
  <c r="F123" i="62"/>
  <c r="E81" i="62"/>
  <c r="E106" i="62"/>
  <c r="J78" i="62"/>
  <c r="J77" i="62"/>
  <c r="J76" i="62"/>
  <c r="J74" i="62"/>
  <c r="J69" i="62"/>
  <c r="J68" i="62"/>
  <c r="J67" i="62"/>
  <c r="H66" i="62"/>
  <c r="J66" i="62"/>
  <c r="H65" i="62"/>
  <c r="J65" i="62"/>
  <c r="J64" i="62"/>
  <c r="J63" i="62"/>
  <c r="J62" i="62"/>
  <c r="H61" i="62"/>
  <c r="H60" i="62"/>
  <c r="J60" i="62"/>
  <c r="H58" i="62"/>
  <c r="J58" i="62"/>
  <c r="H57" i="62"/>
  <c r="J57" i="62"/>
  <c r="H56" i="62"/>
  <c r="J56" i="62"/>
  <c r="H55" i="62"/>
  <c r="J55" i="62"/>
  <c r="E54" i="62"/>
  <c r="H54" i="62"/>
  <c r="H53" i="62"/>
  <c r="H52" i="62"/>
  <c r="J52" i="62"/>
  <c r="H51" i="62"/>
  <c r="H50" i="62"/>
  <c r="E226" i="65"/>
  <c r="H49" i="62"/>
  <c r="J48" i="62"/>
  <c r="H48" i="62"/>
  <c r="H47" i="62"/>
  <c r="H45" i="62"/>
  <c r="J45" i="62"/>
  <c r="H44" i="62"/>
  <c r="H43" i="62"/>
  <c r="J43" i="62"/>
  <c r="H42" i="62"/>
  <c r="H40" i="62"/>
  <c r="E216" i="65"/>
  <c r="E39" i="62"/>
  <c r="H39" i="62"/>
  <c r="J37" i="62"/>
  <c r="E36" i="62"/>
  <c r="H36" i="62"/>
  <c r="E35" i="62"/>
  <c r="H35" i="62"/>
  <c r="H34" i="62"/>
  <c r="J33" i="62"/>
  <c r="J32" i="62"/>
  <c r="J31" i="62"/>
  <c r="J30" i="62"/>
  <c r="E28" i="62"/>
  <c r="H28" i="62"/>
  <c r="H25" i="62"/>
  <c r="J25" i="62"/>
  <c r="J24" i="62"/>
  <c r="J23" i="62"/>
  <c r="J22" i="62"/>
  <c r="J21" i="62"/>
  <c r="H20" i="62"/>
  <c r="J20" i="62"/>
  <c r="J19" i="62"/>
  <c r="J18" i="62"/>
  <c r="J17" i="62"/>
  <c r="J16" i="62"/>
  <c r="J15" i="62"/>
  <c r="J14" i="62"/>
  <c r="J13" i="62"/>
  <c r="J12" i="62"/>
  <c r="J10" i="62"/>
  <c r="J9" i="62"/>
  <c r="J8" i="62"/>
  <c r="H7" i="62"/>
  <c r="K65" i="60"/>
  <c r="K64" i="60"/>
  <c r="H62" i="60"/>
  <c r="K62" i="60"/>
  <c r="K61" i="60"/>
  <c r="F60" i="60"/>
  <c r="E60" i="60"/>
  <c r="F59" i="60"/>
  <c r="E59" i="60"/>
  <c r="G57" i="60"/>
  <c r="K52" i="60"/>
  <c r="K51" i="60"/>
  <c r="G49" i="60"/>
  <c r="G48" i="60"/>
  <c r="B48" i="60"/>
  <c r="K46" i="60"/>
  <c r="K45" i="60"/>
  <c r="H43" i="60"/>
  <c r="H42" i="60"/>
  <c r="K42" i="60"/>
  <c r="D41" i="60"/>
  <c r="D55" i="60"/>
  <c r="D40" i="60"/>
  <c r="D54" i="60"/>
  <c r="K38" i="60"/>
  <c r="H37" i="60"/>
  <c r="H36" i="60"/>
  <c r="H35" i="60"/>
  <c r="K35" i="60"/>
  <c r="K34" i="60"/>
  <c r="K33" i="60"/>
  <c r="K32" i="60"/>
  <c r="K31" i="60"/>
  <c r="K30" i="60"/>
  <c r="J30" i="60"/>
  <c r="H29" i="60"/>
  <c r="K27" i="60"/>
  <c r="K26" i="60"/>
  <c r="K24" i="60"/>
  <c r="K18" i="60"/>
  <c r="K17" i="60"/>
  <c r="K16" i="60"/>
  <c r="K15" i="60"/>
  <c r="K14" i="60"/>
  <c r="K13" i="60"/>
  <c r="K11" i="60"/>
  <c r="F10" i="60"/>
  <c r="F41" i="60"/>
  <c r="F55" i="60"/>
  <c r="E10" i="60"/>
  <c r="E41" i="60"/>
  <c r="E55" i="60"/>
  <c r="E49" i="60"/>
  <c r="F9" i="60"/>
  <c r="F40" i="60"/>
  <c r="F54" i="60"/>
  <c r="E9" i="60"/>
  <c r="E40" i="60"/>
  <c r="E54" i="60"/>
  <c r="E48" i="60"/>
  <c r="H102" i="43"/>
  <c r="H101" i="43"/>
  <c r="E102" i="43"/>
  <c r="K99" i="43"/>
  <c r="H98" i="43"/>
  <c r="H97" i="43"/>
  <c r="H96" i="43"/>
  <c r="K96" i="43"/>
  <c r="J96" i="43"/>
  <c r="K95" i="43"/>
  <c r="H95" i="43"/>
  <c r="K94" i="43"/>
  <c r="E93" i="43"/>
  <c r="H93" i="43"/>
  <c r="K92" i="43"/>
  <c r="H91" i="43"/>
  <c r="H90" i="43"/>
  <c r="K88" i="43"/>
  <c r="K87" i="43"/>
  <c r="K86" i="43"/>
  <c r="K85" i="43"/>
  <c r="K81" i="43"/>
  <c r="F79" i="43"/>
  <c r="E79" i="43"/>
  <c r="H79" i="43"/>
  <c r="B79" i="43"/>
  <c r="F78" i="43"/>
  <c r="H78" i="43"/>
  <c r="E78" i="43"/>
  <c r="D78" i="43"/>
  <c r="B78" i="43"/>
  <c r="F77" i="43"/>
  <c r="E77" i="43"/>
  <c r="D77" i="43"/>
  <c r="H77" i="43"/>
  <c r="B77" i="43"/>
  <c r="H76" i="43"/>
  <c r="H75" i="43"/>
  <c r="H73" i="43"/>
  <c r="G24" i="43"/>
  <c r="H24" i="43"/>
  <c r="G73" i="43"/>
  <c r="G58" i="43"/>
  <c r="H70" i="43"/>
  <c r="H69" i="43"/>
  <c r="K66" i="43"/>
  <c r="K65" i="43"/>
  <c r="K64" i="43"/>
  <c r="G63" i="43"/>
  <c r="E63" i="43"/>
  <c r="H63" i="43"/>
  <c r="H62" i="43"/>
  <c r="B63" i="43"/>
  <c r="G60" i="43"/>
  <c r="E60" i="43"/>
  <c r="B60" i="43"/>
  <c r="B58" i="43"/>
  <c r="G56" i="43"/>
  <c r="B56" i="43"/>
  <c r="K54" i="43"/>
  <c r="K53" i="43"/>
  <c r="H52" i="43"/>
  <c r="K52" i="43"/>
  <c r="E48" i="43"/>
  <c r="D48" i="43"/>
  <c r="D47" i="43"/>
  <c r="H46" i="43"/>
  <c r="K43" i="43"/>
  <c r="K42" i="43"/>
  <c r="K41" i="43"/>
  <c r="K40" i="43"/>
  <c r="F38" i="43"/>
  <c r="F49" i="43"/>
  <c r="E38" i="43"/>
  <c r="H38" i="43"/>
  <c r="B38" i="43"/>
  <c r="F37" i="43"/>
  <c r="F48" i="43"/>
  <c r="E37" i="43"/>
  <c r="F36" i="43"/>
  <c r="F47" i="43"/>
  <c r="E36" i="43"/>
  <c r="E47" i="43"/>
  <c r="K33" i="43"/>
  <c r="K32" i="43"/>
  <c r="K30" i="43"/>
  <c r="H28" i="43"/>
  <c r="H27" i="43"/>
  <c r="H26" i="43"/>
  <c r="H25" i="43"/>
  <c r="K25" i="43"/>
  <c r="K19" i="43"/>
  <c r="K18" i="43"/>
  <c r="K17" i="43"/>
  <c r="K16" i="43"/>
  <c r="K15" i="43"/>
  <c r="K14" i="43"/>
  <c r="K13" i="43"/>
  <c r="K12" i="43"/>
  <c r="F9" i="43"/>
  <c r="F45" i="43"/>
  <c r="F56" i="43"/>
  <c r="E9" i="43"/>
  <c r="E45" i="43"/>
  <c r="E56" i="43"/>
  <c r="D9" i="43"/>
  <c r="D45" i="43"/>
  <c r="D56" i="43"/>
  <c r="L61" i="52"/>
  <c r="L60" i="52"/>
  <c r="F59" i="52"/>
  <c r="I59" i="52"/>
  <c r="I58" i="52"/>
  <c r="L57" i="52"/>
  <c r="L54" i="52"/>
  <c r="L53" i="52"/>
  <c r="L51" i="52"/>
  <c r="I51" i="52"/>
  <c r="L50" i="52"/>
  <c r="L49" i="52"/>
  <c r="L42" i="52"/>
  <c r="L41" i="52"/>
  <c r="L40" i="52"/>
  <c r="H38" i="52"/>
  <c r="G38" i="52"/>
  <c r="F38" i="52"/>
  <c r="H37" i="52"/>
  <c r="H36" i="52"/>
  <c r="C36" i="52"/>
  <c r="L34" i="52"/>
  <c r="F32" i="52"/>
  <c r="F44" i="52"/>
  <c r="E32" i="52"/>
  <c r="E44" i="52"/>
  <c r="L30" i="52"/>
  <c r="L29" i="52"/>
  <c r="L28" i="52"/>
  <c r="I26" i="52"/>
  <c r="I25" i="52"/>
  <c r="L25" i="52"/>
  <c r="L24" i="52"/>
  <c r="L23" i="52"/>
  <c r="L21" i="52"/>
  <c r="G10" i="52"/>
  <c r="F10" i="52"/>
  <c r="I10" i="52"/>
  <c r="I9" i="52"/>
  <c r="G9" i="52"/>
  <c r="G32" i="52"/>
  <c r="G44" i="52"/>
  <c r="F9" i="52"/>
  <c r="H10" i="53"/>
  <c r="H9" i="53"/>
  <c r="H8" i="53"/>
  <c r="H7" i="53"/>
  <c r="H6" i="53"/>
  <c r="AO233" i="65"/>
  <c r="AN233" i="65"/>
  <c r="AM233" i="65"/>
  <c r="AL233" i="65"/>
  <c r="AK233" i="65"/>
  <c r="AJ233" i="65"/>
  <c r="AI233" i="65"/>
  <c r="AH233" i="65"/>
  <c r="AG233" i="65"/>
  <c r="AF233" i="65"/>
  <c r="AE233" i="65"/>
  <c r="AD233" i="65"/>
  <c r="AC233" i="65"/>
  <c r="AB233" i="65"/>
  <c r="AA233" i="65"/>
  <c r="Z233" i="65"/>
  <c r="AO232" i="65"/>
  <c r="AN232" i="65"/>
  <c r="AM232" i="65"/>
  <c r="AL232" i="65"/>
  <c r="AK232" i="65"/>
  <c r="AJ232" i="65"/>
  <c r="AI232" i="65"/>
  <c r="AH232" i="65"/>
  <c r="AG232" i="65"/>
  <c r="AF232" i="65"/>
  <c r="AE232" i="65"/>
  <c r="AD232" i="65"/>
  <c r="AC232" i="65"/>
  <c r="AB232" i="65"/>
  <c r="AA232" i="65"/>
  <c r="AO231" i="65"/>
  <c r="AN231" i="65"/>
  <c r="AM231" i="65"/>
  <c r="AL231" i="65"/>
  <c r="AK231" i="65"/>
  <c r="AJ231" i="65"/>
  <c r="AI231" i="65"/>
  <c r="AH231" i="65"/>
  <c r="AG231" i="65"/>
  <c r="AF231" i="65"/>
  <c r="AE231" i="65"/>
  <c r="AD231" i="65"/>
  <c r="AC231" i="65"/>
  <c r="AB231" i="65"/>
  <c r="AA231" i="65"/>
  <c r="AO230" i="65"/>
  <c r="AN230" i="65"/>
  <c r="AM230" i="65"/>
  <c r="AL230" i="65"/>
  <c r="AK230" i="65"/>
  <c r="AJ230" i="65"/>
  <c r="AI230" i="65"/>
  <c r="AH230" i="65"/>
  <c r="AG230" i="65"/>
  <c r="AF230" i="65"/>
  <c r="AE230" i="65"/>
  <c r="AD230" i="65"/>
  <c r="AC230" i="65"/>
  <c r="AB230" i="65"/>
  <c r="AA230" i="65"/>
  <c r="AO229" i="65"/>
  <c r="AN229" i="65"/>
  <c r="AM229" i="65"/>
  <c r="AL229" i="65"/>
  <c r="AK229" i="65"/>
  <c r="AJ229" i="65"/>
  <c r="AI229" i="65"/>
  <c r="AH229" i="65"/>
  <c r="AG229" i="65"/>
  <c r="AF229" i="65"/>
  <c r="AE229" i="65"/>
  <c r="AD229" i="65"/>
  <c r="AC229" i="65"/>
  <c r="AB229" i="65"/>
  <c r="AA229" i="65"/>
  <c r="Z229" i="65"/>
  <c r="U229" i="65"/>
  <c r="W229" i="65"/>
  <c r="AO228" i="65"/>
  <c r="AN228" i="65"/>
  <c r="AM228" i="65"/>
  <c r="AL228" i="65"/>
  <c r="AK228" i="65"/>
  <c r="AJ228" i="65"/>
  <c r="AI228" i="65"/>
  <c r="AH228" i="65"/>
  <c r="AG228" i="65"/>
  <c r="AF228" i="65"/>
  <c r="AE228" i="65"/>
  <c r="AD228" i="65"/>
  <c r="AC228" i="65"/>
  <c r="AB228" i="65"/>
  <c r="AA228" i="65"/>
  <c r="E228" i="65"/>
  <c r="AO227" i="65"/>
  <c r="AN227" i="65"/>
  <c r="AM227" i="65"/>
  <c r="AL227" i="65"/>
  <c r="AK227" i="65"/>
  <c r="AJ227" i="65"/>
  <c r="AI227" i="65"/>
  <c r="AH227" i="65"/>
  <c r="AG227" i="65"/>
  <c r="AF227" i="65"/>
  <c r="AE227" i="65"/>
  <c r="AD227" i="65"/>
  <c r="AC227" i="65"/>
  <c r="AB227" i="65"/>
  <c r="AA227" i="65"/>
  <c r="AO226" i="65"/>
  <c r="AN226" i="65"/>
  <c r="AM226" i="65"/>
  <c r="AL226" i="65"/>
  <c r="AK226" i="65"/>
  <c r="AJ226" i="65"/>
  <c r="AI226" i="65"/>
  <c r="AH226" i="65"/>
  <c r="AG226" i="65"/>
  <c r="AF226" i="65"/>
  <c r="AE226" i="65"/>
  <c r="AD226" i="65"/>
  <c r="AC226" i="65"/>
  <c r="AB226" i="65"/>
  <c r="AA226" i="65"/>
  <c r="AO225" i="65"/>
  <c r="AN225" i="65"/>
  <c r="AM225" i="65"/>
  <c r="AL225" i="65"/>
  <c r="AK225" i="65"/>
  <c r="AJ225" i="65"/>
  <c r="AI225" i="65"/>
  <c r="AH225" i="65"/>
  <c r="AG225" i="65"/>
  <c r="AF225" i="65"/>
  <c r="AE225" i="65"/>
  <c r="AD225" i="65"/>
  <c r="AC225" i="65"/>
  <c r="AB225" i="65"/>
  <c r="AA225" i="65"/>
  <c r="AO224" i="65"/>
  <c r="AN224" i="65"/>
  <c r="AM224" i="65"/>
  <c r="AL224" i="65"/>
  <c r="AK224" i="65"/>
  <c r="AJ224" i="65"/>
  <c r="AI224" i="65"/>
  <c r="AH224" i="65"/>
  <c r="AG224" i="65"/>
  <c r="AF224" i="65"/>
  <c r="AE224" i="65"/>
  <c r="AD224" i="65"/>
  <c r="AC224" i="65"/>
  <c r="AB224" i="65"/>
  <c r="AA224" i="65"/>
  <c r="E224" i="65"/>
  <c r="AO223" i="65"/>
  <c r="AN223" i="65"/>
  <c r="AM223" i="65"/>
  <c r="AL223" i="65"/>
  <c r="AK223" i="65"/>
  <c r="AJ223" i="65"/>
  <c r="AI223" i="65"/>
  <c r="AH223" i="65"/>
  <c r="AG223" i="65"/>
  <c r="AF223" i="65"/>
  <c r="AE223" i="65"/>
  <c r="AD223" i="65"/>
  <c r="AC223" i="65"/>
  <c r="AB223" i="65"/>
  <c r="AA223" i="65"/>
  <c r="AO222" i="65"/>
  <c r="AN222" i="65"/>
  <c r="AM222" i="65"/>
  <c r="AL222" i="65"/>
  <c r="AK222" i="65"/>
  <c r="AJ222" i="65"/>
  <c r="AO221" i="65"/>
  <c r="AI222" i="65"/>
  <c r="AN221" i="65"/>
  <c r="AH222" i="65"/>
  <c r="AM221" i="65"/>
  <c r="AG222" i="65"/>
  <c r="AL221" i="65"/>
  <c r="AF222" i="65"/>
  <c r="AE222" i="65"/>
  <c r="AJ221" i="65"/>
  <c r="AD222" i="65"/>
  <c r="AI221" i="65"/>
  <c r="AC222" i="65"/>
  <c r="AH221" i="65"/>
  <c r="AB222" i="65"/>
  <c r="AG221" i="65"/>
  <c r="AA222" i="65"/>
  <c r="AF221" i="65"/>
  <c r="Z222" i="65"/>
  <c r="AE221" i="65"/>
  <c r="AK221" i="65"/>
  <c r="AD221" i="65"/>
  <c r="AC221" i="65"/>
  <c r="AB221" i="65"/>
  <c r="AA221" i="65"/>
  <c r="E221" i="65"/>
  <c r="Z221" i="65"/>
  <c r="AO220" i="65"/>
  <c r="AN220" i="65"/>
  <c r="AM220" i="65"/>
  <c r="AL220" i="65"/>
  <c r="AK220" i="65"/>
  <c r="AJ220" i="65"/>
  <c r="AI220" i="65"/>
  <c r="AH220" i="65"/>
  <c r="AG220" i="65"/>
  <c r="AF220" i="65"/>
  <c r="AE220" i="65"/>
  <c r="AD220" i="65"/>
  <c r="AC220" i="65"/>
  <c r="AB220" i="65"/>
  <c r="AA220" i="65"/>
  <c r="AO219" i="65"/>
  <c r="AN219" i="65"/>
  <c r="AM219" i="65"/>
  <c r="AL219" i="65"/>
  <c r="AK219" i="65"/>
  <c r="AJ219" i="65"/>
  <c r="AI219" i="65"/>
  <c r="AH219" i="65"/>
  <c r="AG219" i="65"/>
  <c r="AF219" i="65"/>
  <c r="AE219" i="65"/>
  <c r="AD219" i="65"/>
  <c r="AC219" i="65"/>
  <c r="AB219" i="65"/>
  <c r="AA219" i="65"/>
  <c r="E219" i="65"/>
  <c r="AO218" i="65"/>
  <c r="AN218" i="65"/>
  <c r="AM218" i="65"/>
  <c r="AL218" i="65"/>
  <c r="AK218" i="65"/>
  <c r="AJ218" i="65"/>
  <c r="AI218" i="65"/>
  <c r="AH218" i="65"/>
  <c r="AG218" i="65"/>
  <c r="AF218" i="65"/>
  <c r="AE218" i="65"/>
  <c r="AD218" i="65"/>
  <c r="AC218" i="65"/>
  <c r="AB218" i="65"/>
  <c r="AA218" i="65"/>
  <c r="AO217" i="65"/>
  <c r="AN217" i="65"/>
  <c r="AM217" i="65"/>
  <c r="AL217" i="65"/>
  <c r="AK217" i="65"/>
  <c r="AJ217" i="65"/>
  <c r="AI217" i="65"/>
  <c r="AH217" i="65"/>
  <c r="AG217" i="65"/>
  <c r="AF217" i="65"/>
  <c r="AE217" i="65"/>
  <c r="AD217" i="65"/>
  <c r="AC217" i="65"/>
  <c r="AB217" i="65"/>
  <c r="AA217" i="65"/>
  <c r="Z217" i="65"/>
  <c r="U217" i="65"/>
  <c r="W217" i="65"/>
  <c r="AO216" i="65"/>
  <c r="AN216" i="65"/>
  <c r="AM216" i="65"/>
  <c r="AL216" i="65"/>
  <c r="AK216" i="65"/>
  <c r="AJ216" i="65"/>
  <c r="AI216" i="65"/>
  <c r="AH216" i="65"/>
  <c r="AG216" i="65"/>
  <c r="AF216" i="65"/>
  <c r="AE216" i="65"/>
  <c r="AD216" i="65"/>
  <c r="AC216" i="65"/>
  <c r="AB216" i="65"/>
  <c r="AA216" i="65"/>
  <c r="AO215" i="65"/>
  <c r="AN215" i="65"/>
  <c r="AM215" i="65"/>
  <c r="AL215" i="65"/>
  <c r="AK215" i="65"/>
  <c r="AJ215" i="65"/>
  <c r="AI215" i="65"/>
  <c r="AH215" i="65"/>
  <c r="AG215" i="65"/>
  <c r="AF215" i="65"/>
  <c r="AE215" i="65"/>
  <c r="AD215" i="65"/>
  <c r="AC215" i="65"/>
  <c r="AB215" i="65"/>
  <c r="AA215" i="65"/>
  <c r="AO214" i="65"/>
  <c r="AN214" i="65"/>
  <c r="AM214" i="65"/>
  <c r="AL214" i="65"/>
  <c r="AK214" i="65"/>
  <c r="AJ214" i="65"/>
  <c r="AI214" i="65"/>
  <c r="AH214" i="65"/>
  <c r="AG214" i="65"/>
  <c r="AF214" i="65"/>
  <c r="AE214" i="65"/>
  <c r="AD214" i="65"/>
  <c r="AC214" i="65"/>
  <c r="AB214" i="65"/>
  <c r="AA214" i="65"/>
  <c r="Z214" i="65"/>
  <c r="U214" i="65"/>
  <c r="W214" i="65"/>
  <c r="AO213" i="65"/>
  <c r="AN213" i="65"/>
  <c r="AM213" i="65"/>
  <c r="AL213" i="65"/>
  <c r="AK213" i="65"/>
  <c r="AJ213" i="65"/>
  <c r="AI213" i="65"/>
  <c r="AH213" i="65"/>
  <c r="AG213" i="65"/>
  <c r="AF213" i="65"/>
  <c r="AE213" i="65"/>
  <c r="AD213" i="65"/>
  <c r="AC213" i="65"/>
  <c r="AB213" i="65"/>
  <c r="AA213" i="65"/>
  <c r="Z213" i="65"/>
  <c r="U213" i="65"/>
  <c r="W213" i="65"/>
  <c r="AO212" i="65"/>
  <c r="AN212" i="65"/>
  <c r="AM212" i="65"/>
  <c r="AL212" i="65"/>
  <c r="AK212" i="65"/>
  <c r="AJ212" i="65"/>
  <c r="AI212" i="65"/>
  <c r="AH212" i="65"/>
  <c r="AG212" i="65"/>
  <c r="AF212" i="65"/>
  <c r="AE212" i="65"/>
  <c r="AD212" i="65"/>
  <c r="AC212" i="65"/>
  <c r="AB212" i="65"/>
  <c r="AA212" i="65"/>
  <c r="Z212" i="65"/>
  <c r="U212" i="65"/>
  <c r="W212" i="65"/>
  <c r="AO211" i="65"/>
  <c r="AN211" i="65"/>
  <c r="AM211" i="65"/>
  <c r="AL211" i="65"/>
  <c r="AK211" i="65"/>
  <c r="AJ211" i="65"/>
  <c r="AI211" i="65"/>
  <c r="AH211" i="65"/>
  <c r="AG211" i="65"/>
  <c r="AF211" i="65"/>
  <c r="AE211" i="65"/>
  <c r="AD211" i="65"/>
  <c r="AC211" i="65"/>
  <c r="AB211" i="65"/>
  <c r="AA211" i="65"/>
  <c r="Z211" i="65"/>
  <c r="U211" i="65"/>
  <c r="W211" i="65"/>
  <c r="AO210" i="65"/>
  <c r="AN210" i="65"/>
  <c r="AM210" i="65"/>
  <c r="AL210" i="65"/>
  <c r="AK210" i="65"/>
  <c r="AJ210" i="65"/>
  <c r="AI210" i="65"/>
  <c r="AH210" i="65"/>
  <c r="AG210" i="65"/>
  <c r="AF210" i="65"/>
  <c r="AE210" i="65"/>
  <c r="AD210" i="65"/>
  <c r="AC210" i="65"/>
  <c r="AB210" i="65"/>
  <c r="AA210" i="65"/>
  <c r="AO209" i="65"/>
  <c r="AN209" i="65"/>
  <c r="AM209" i="65"/>
  <c r="AL209" i="65"/>
  <c r="AK209" i="65"/>
  <c r="AJ209" i="65"/>
  <c r="AI209" i="65"/>
  <c r="AH209" i="65"/>
  <c r="AG209" i="65"/>
  <c r="AF209" i="65"/>
  <c r="AE209" i="65"/>
  <c r="AD209" i="65"/>
  <c r="AC209" i="65"/>
  <c r="AB209" i="65"/>
  <c r="AA209" i="65"/>
  <c r="Z209" i="65"/>
  <c r="U209" i="65"/>
  <c r="W209" i="65"/>
  <c r="AO208" i="65"/>
  <c r="AN208" i="65"/>
  <c r="AM208" i="65"/>
  <c r="AL208" i="65"/>
  <c r="AK208" i="65"/>
  <c r="AJ208" i="65"/>
  <c r="AI208" i="65"/>
  <c r="AH208" i="65"/>
  <c r="AG208" i="65"/>
  <c r="AF208" i="65"/>
  <c r="AE208" i="65"/>
  <c r="AD208" i="65"/>
  <c r="AC208" i="65"/>
  <c r="AB208" i="65"/>
  <c r="AA208" i="65"/>
  <c r="E208" i="65"/>
  <c r="U208" i="65"/>
  <c r="W208" i="65"/>
  <c r="AO207" i="65"/>
  <c r="AN207" i="65"/>
  <c r="AM207" i="65"/>
  <c r="AL207" i="65"/>
  <c r="AK207" i="65"/>
  <c r="AJ207" i="65"/>
  <c r="AI207" i="65"/>
  <c r="AH207" i="65"/>
  <c r="AG207" i="65"/>
  <c r="AF207" i="65"/>
  <c r="AE207" i="65"/>
  <c r="AD207" i="65"/>
  <c r="AC207" i="65"/>
  <c r="AB207" i="65"/>
  <c r="AA207" i="65"/>
  <c r="Z207" i="65"/>
  <c r="U207" i="65"/>
  <c r="W207" i="65"/>
  <c r="AO206" i="65"/>
  <c r="AN206" i="65"/>
  <c r="AM206" i="65"/>
  <c r="AL206" i="65"/>
  <c r="AK206" i="65"/>
  <c r="AJ206" i="65"/>
  <c r="AI206" i="65"/>
  <c r="AH206" i="65"/>
  <c r="AG206" i="65"/>
  <c r="AF206" i="65"/>
  <c r="AE206" i="65"/>
  <c r="AD206" i="65"/>
  <c r="AC206" i="65"/>
  <c r="AB206" i="65"/>
  <c r="AA206" i="65"/>
  <c r="E206" i="65"/>
  <c r="AO205" i="65"/>
  <c r="AN205" i="65"/>
  <c r="AM205" i="65"/>
  <c r="AL205" i="65"/>
  <c r="AK205" i="65"/>
  <c r="AJ205" i="65"/>
  <c r="AI205" i="65"/>
  <c r="AH205" i="65"/>
  <c r="AG205" i="65"/>
  <c r="AF205" i="65"/>
  <c r="AE205" i="65"/>
  <c r="AD205" i="65"/>
  <c r="AC205" i="65"/>
  <c r="AB205" i="65"/>
  <c r="AA205" i="65"/>
  <c r="E205" i="65"/>
  <c r="U205" i="65"/>
  <c r="W205" i="65"/>
  <c r="AO204" i="65"/>
  <c r="AN204" i="65"/>
  <c r="AM204" i="65"/>
  <c r="AL204" i="65"/>
  <c r="AK204" i="65"/>
  <c r="AJ204" i="65"/>
  <c r="AI204" i="65"/>
  <c r="AH204" i="65"/>
  <c r="AG204" i="65"/>
  <c r="AF204" i="65"/>
  <c r="AE204" i="65"/>
  <c r="AD204" i="65"/>
  <c r="AC204" i="65"/>
  <c r="AB204" i="65"/>
  <c r="AA204" i="65"/>
  <c r="Z204" i="65"/>
  <c r="U204" i="65"/>
  <c r="W204" i="65"/>
  <c r="AO203" i="65"/>
  <c r="AN203" i="65"/>
  <c r="AM203" i="65"/>
  <c r="AL203" i="65"/>
  <c r="AK203" i="65"/>
  <c r="AJ203" i="65"/>
  <c r="AI203" i="65"/>
  <c r="AH203" i="65"/>
  <c r="AG203" i="65"/>
  <c r="AF203" i="65"/>
  <c r="AE203" i="65"/>
  <c r="AD203" i="65"/>
  <c r="AC203" i="65"/>
  <c r="AB203" i="65"/>
  <c r="AA203" i="65"/>
  <c r="AO202" i="65"/>
  <c r="AN202" i="65"/>
  <c r="AM202" i="65"/>
  <c r="AL202" i="65"/>
  <c r="AK202" i="65"/>
  <c r="AJ202" i="65"/>
  <c r="AI202" i="65"/>
  <c r="AH202" i="65"/>
  <c r="AG202" i="65"/>
  <c r="AF202" i="65"/>
  <c r="AE202" i="65"/>
  <c r="AD202" i="65"/>
  <c r="AC202" i="65"/>
  <c r="AB202" i="65"/>
  <c r="AA202" i="65"/>
  <c r="Z202" i="65"/>
  <c r="U202" i="65"/>
  <c r="W202" i="65"/>
  <c r="AO201" i="65"/>
  <c r="AN201" i="65"/>
  <c r="AM201" i="65"/>
  <c r="AL201" i="65"/>
  <c r="AK201" i="65"/>
  <c r="AJ201" i="65"/>
  <c r="AI201" i="65"/>
  <c r="AH201" i="65"/>
  <c r="AG201" i="65"/>
  <c r="AF201" i="65"/>
  <c r="AE201" i="65"/>
  <c r="AD201" i="65"/>
  <c r="AC201" i="65"/>
  <c r="AB201" i="65"/>
  <c r="AA201" i="65"/>
  <c r="Z201" i="65"/>
  <c r="U201" i="65"/>
  <c r="W201" i="65"/>
  <c r="AO200" i="65"/>
  <c r="AN200" i="65"/>
  <c r="AM200" i="65"/>
  <c r="AL200" i="65"/>
  <c r="AK200" i="65"/>
  <c r="AJ200" i="65"/>
  <c r="AI200" i="65"/>
  <c r="AH200" i="65"/>
  <c r="AG200" i="65"/>
  <c r="AF200" i="65"/>
  <c r="AE200" i="65"/>
  <c r="AD200" i="65"/>
  <c r="AC200" i="65"/>
  <c r="AB200" i="65"/>
  <c r="AA200" i="65"/>
  <c r="Z200" i="65"/>
  <c r="U200" i="65"/>
  <c r="W200" i="65"/>
  <c r="AO199" i="65"/>
  <c r="AN199" i="65"/>
  <c r="AM199" i="65"/>
  <c r="AL199" i="65"/>
  <c r="AK199" i="65"/>
  <c r="AJ199" i="65"/>
  <c r="AI199" i="65"/>
  <c r="AH199" i="65"/>
  <c r="AG199" i="65"/>
  <c r="AF199" i="65"/>
  <c r="AE199" i="65"/>
  <c r="AD199" i="65"/>
  <c r="AC199" i="65"/>
  <c r="AB199" i="65"/>
  <c r="AA199" i="65"/>
  <c r="Z199" i="65"/>
  <c r="U199" i="65"/>
  <c r="W199" i="65"/>
  <c r="AO198" i="65"/>
  <c r="AN198" i="65"/>
  <c r="AM198" i="65"/>
  <c r="AL198" i="65"/>
  <c r="AK198" i="65"/>
  <c r="AJ198" i="65"/>
  <c r="AI198" i="65"/>
  <c r="AH198" i="65"/>
  <c r="AG198" i="65"/>
  <c r="AF198" i="65"/>
  <c r="AE198" i="65"/>
  <c r="AD198" i="65"/>
  <c r="AC198" i="65"/>
  <c r="AB198" i="65"/>
  <c r="AA198" i="65"/>
  <c r="Z198" i="65"/>
  <c r="U198" i="65"/>
  <c r="W198" i="65"/>
  <c r="AO197" i="65"/>
  <c r="AN197" i="65"/>
  <c r="AM197" i="65"/>
  <c r="AL197" i="65"/>
  <c r="AK197" i="65"/>
  <c r="AJ197" i="65"/>
  <c r="AI197" i="65"/>
  <c r="AH197" i="65"/>
  <c r="AG197" i="65"/>
  <c r="AF197" i="65"/>
  <c r="AE197" i="65"/>
  <c r="AD197" i="65"/>
  <c r="AC197" i="65"/>
  <c r="AB197" i="65"/>
  <c r="AA197" i="65"/>
  <c r="E197" i="65"/>
  <c r="Z197" i="65"/>
  <c r="AO196" i="65"/>
  <c r="AN196" i="65"/>
  <c r="AM196" i="65"/>
  <c r="AL196" i="65"/>
  <c r="AK196" i="65"/>
  <c r="AJ196" i="65"/>
  <c r="AI196" i="65"/>
  <c r="AH196" i="65"/>
  <c r="AG196" i="65"/>
  <c r="AF196" i="65"/>
  <c r="AE196" i="65"/>
  <c r="AD196" i="65"/>
  <c r="AC196" i="65"/>
  <c r="AB196" i="65"/>
  <c r="AA196" i="65"/>
  <c r="E196" i="65"/>
  <c r="AO195" i="65"/>
  <c r="AN195" i="65"/>
  <c r="AM195" i="65"/>
  <c r="AL195" i="65"/>
  <c r="AK195" i="65"/>
  <c r="AJ195" i="65"/>
  <c r="AI195" i="65"/>
  <c r="AH195" i="65"/>
  <c r="AG195" i="65"/>
  <c r="AF195" i="65"/>
  <c r="AE195" i="65"/>
  <c r="AD195" i="65"/>
  <c r="AC195" i="65"/>
  <c r="AB195" i="65"/>
  <c r="AA195" i="65"/>
  <c r="Z195" i="65"/>
  <c r="U195" i="65"/>
  <c r="W195" i="65"/>
  <c r="AO194" i="65"/>
  <c r="AN194" i="65"/>
  <c r="AM194" i="65"/>
  <c r="AL194" i="65"/>
  <c r="AK194" i="65"/>
  <c r="AJ194" i="65"/>
  <c r="AI194" i="65"/>
  <c r="AH194" i="65"/>
  <c r="AG194" i="65"/>
  <c r="AF194" i="65"/>
  <c r="AE194" i="65"/>
  <c r="AD194" i="65"/>
  <c r="AC194" i="65"/>
  <c r="AB194" i="65"/>
  <c r="AA194" i="65"/>
  <c r="Z194" i="65"/>
  <c r="U194" i="65"/>
  <c r="W194" i="65"/>
  <c r="AO193" i="65"/>
  <c r="AN193" i="65"/>
  <c r="AM193" i="65"/>
  <c r="AL193" i="65"/>
  <c r="AK193" i="65"/>
  <c r="AJ193" i="65"/>
  <c r="AI193" i="65"/>
  <c r="AH193" i="65"/>
  <c r="AG193" i="65"/>
  <c r="AF193" i="65"/>
  <c r="AE193" i="65"/>
  <c r="AD193" i="65"/>
  <c r="AC193" i="65"/>
  <c r="AB193" i="65"/>
  <c r="AA193" i="65"/>
  <c r="E193" i="65"/>
  <c r="U193" i="65"/>
  <c r="W193" i="65"/>
  <c r="AO192" i="65"/>
  <c r="AN192" i="65"/>
  <c r="AM192" i="65"/>
  <c r="AL192" i="65"/>
  <c r="AK192" i="65"/>
  <c r="AJ192" i="65"/>
  <c r="AI192" i="65"/>
  <c r="AH192" i="65"/>
  <c r="AG192" i="65"/>
  <c r="AF192" i="65"/>
  <c r="AE192" i="65"/>
  <c r="AD192" i="65"/>
  <c r="AC192" i="65"/>
  <c r="AB192" i="65"/>
  <c r="AA192" i="65"/>
  <c r="Z192" i="65"/>
  <c r="U192" i="65"/>
  <c r="W192" i="65"/>
  <c r="AO191" i="65"/>
  <c r="AN191" i="65"/>
  <c r="AM191" i="65"/>
  <c r="AL191" i="65"/>
  <c r="AK191" i="65"/>
  <c r="AJ191" i="65"/>
  <c r="AI191" i="65"/>
  <c r="AH191" i="65"/>
  <c r="AG191" i="65"/>
  <c r="AF191" i="65"/>
  <c r="AE191" i="65"/>
  <c r="AD191" i="65"/>
  <c r="AC191" i="65"/>
  <c r="AB191" i="65"/>
  <c r="AA191" i="65"/>
  <c r="Z191" i="65"/>
  <c r="U191" i="65"/>
  <c r="W191" i="65"/>
  <c r="AO190" i="65"/>
  <c r="AN190" i="65"/>
  <c r="AM190" i="65"/>
  <c r="AL190" i="65"/>
  <c r="AK190" i="65"/>
  <c r="AJ190" i="65"/>
  <c r="AI190" i="65"/>
  <c r="AH190" i="65"/>
  <c r="AG190" i="65"/>
  <c r="AF190" i="65"/>
  <c r="AE190" i="65"/>
  <c r="AD190" i="65"/>
  <c r="AC190" i="65"/>
  <c r="AB190" i="65"/>
  <c r="AA190" i="65"/>
  <c r="AO189" i="65"/>
  <c r="AN189" i="65"/>
  <c r="AM189" i="65"/>
  <c r="AL189" i="65"/>
  <c r="AK189" i="65"/>
  <c r="AJ189" i="65"/>
  <c r="AI189" i="65"/>
  <c r="AH189" i="65"/>
  <c r="AG189" i="65"/>
  <c r="AF189" i="65"/>
  <c r="AE189" i="65"/>
  <c r="AD189" i="65"/>
  <c r="AC189" i="65"/>
  <c r="AB189" i="65"/>
  <c r="AA189" i="65"/>
  <c r="Z189" i="65"/>
  <c r="U189" i="65"/>
  <c r="W189" i="65"/>
  <c r="AO188" i="65"/>
  <c r="AN188" i="65"/>
  <c r="AM188" i="65"/>
  <c r="AL188" i="65"/>
  <c r="AK188" i="65"/>
  <c r="AJ188" i="65"/>
  <c r="AI188" i="65"/>
  <c r="AH188" i="65"/>
  <c r="AG188" i="65"/>
  <c r="AF188" i="65"/>
  <c r="AE188" i="65"/>
  <c r="AD188" i="65"/>
  <c r="AC188" i="65"/>
  <c r="AB188" i="65"/>
  <c r="AA188" i="65"/>
  <c r="Z188" i="65"/>
  <c r="U188" i="65"/>
  <c r="W188" i="65"/>
  <c r="AO187" i="65"/>
  <c r="AM187" i="65"/>
  <c r="AL187" i="65"/>
  <c r="AK187" i="65"/>
  <c r="AJ187" i="65"/>
  <c r="AI187" i="65"/>
  <c r="AH187" i="65"/>
  <c r="AG187" i="65"/>
  <c r="AF187" i="65"/>
  <c r="AE187" i="65"/>
  <c r="AD187" i="65"/>
  <c r="AC187" i="65"/>
  <c r="AB187" i="65"/>
  <c r="AA187" i="65"/>
  <c r="Z187" i="65"/>
  <c r="S187" i="65"/>
  <c r="AN187" i="65"/>
  <c r="AO186" i="65"/>
  <c r="AN186" i="65"/>
  <c r="AM186" i="65"/>
  <c r="AL186" i="65"/>
  <c r="AK186" i="65"/>
  <c r="AJ186" i="65"/>
  <c r="AI186" i="65"/>
  <c r="AH186" i="65"/>
  <c r="AG186" i="65"/>
  <c r="AF186" i="65"/>
  <c r="AE186" i="65"/>
  <c r="AD186" i="65"/>
  <c r="AC186" i="65"/>
  <c r="AB186" i="65"/>
  <c r="AA186" i="65"/>
  <c r="Z186" i="65"/>
  <c r="U186" i="65"/>
  <c r="W186" i="65"/>
  <c r="AO185" i="65"/>
  <c r="AM185" i="65"/>
  <c r="AL185" i="65"/>
  <c r="AK185" i="65"/>
  <c r="AJ185" i="65"/>
  <c r="AI185" i="65"/>
  <c r="AH185" i="65"/>
  <c r="AG185" i="65"/>
  <c r="AF185" i="65"/>
  <c r="AE185" i="65"/>
  <c r="AD185" i="65"/>
  <c r="AC185" i="65"/>
  <c r="AB185" i="65"/>
  <c r="AA185" i="65"/>
  <c r="Z185" i="65"/>
  <c r="S185" i="65"/>
  <c r="AN185" i="65"/>
  <c r="AO184" i="65"/>
  <c r="AN184" i="65"/>
  <c r="AM184" i="65"/>
  <c r="AL184" i="65"/>
  <c r="AK184" i="65"/>
  <c r="AJ184" i="65"/>
  <c r="AI184" i="65"/>
  <c r="AH184" i="65"/>
  <c r="AG184" i="65"/>
  <c r="AF184" i="65"/>
  <c r="AE184" i="65"/>
  <c r="AD184" i="65"/>
  <c r="AC184" i="65"/>
  <c r="AB184" i="65"/>
  <c r="AA184" i="65"/>
  <c r="Z184" i="65"/>
  <c r="U184" i="65"/>
  <c r="W184" i="65"/>
  <c r="AO183" i="65"/>
  <c r="AM183" i="65"/>
  <c r="AL183" i="65"/>
  <c r="AK183" i="65"/>
  <c r="AJ183" i="65"/>
  <c r="AI183" i="65"/>
  <c r="AH183" i="65"/>
  <c r="AG183" i="65"/>
  <c r="AF183" i="65"/>
  <c r="AE183" i="65"/>
  <c r="AD183" i="65"/>
  <c r="AC183" i="65"/>
  <c r="AB183" i="65"/>
  <c r="AA183" i="65"/>
  <c r="Z183" i="65"/>
  <c r="S183" i="65"/>
  <c r="AN183" i="65"/>
  <c r="AO182" i="65"/>
  <c r="AN182" i="65"/>
  <c r="AM182" i="65"/>
  <c r="AL182" i="65"/>
  <c r="AK182" i="65"/>
  <c r="AJ182" i="65"/>
  <c r="AI182" i="65"/>
  <c r="AH182" i="65"/>
  <c r="AG182" i="65"/>
  <c r="AF182" i="65"/>
  <c r="AE182" i="65"/>
  <c r="AD182" i="65"/>
  <c r="AC182" i="65"/>
  <c r="AB182" i="65"/>
  <c r="AA182" i="65"/>
  <c r="Z182" i="65"/>
  <c r="U182" i="65"/>
  <c r="W182" i="65"/>
  <c r="AO181" i="65"/>
  <c r="AN181" i="65"/>
  <c r="AM181" i="65"/>
  <c r="AL181" i="65"/>
  <c r="AK181" i="65"/>
  <c r="AJ181" i="65"/>
  <c r="AI181" i="65"/>
  <c r="AH181" i="65"/>
  <c r="AG181" i="65"/>
  <c r="AF181" i="65"/>
  <c r="AE181" i="65"/>
  <c r="AD181" i="65"/>
  <c r="AC181" i="65"/>
  <c r="AB181" i="65"/>
  <c r="AA181" i="65"/>
  <c r="Z181" i="65"/>
  <c r="U181" i="65"/>
  <c r="W181" i="65"/>
  <c r="AO180" i="65"/>
  <c r="AM180" i="65"/>
  <c r="AL180" i="65"/>
  <c r="AK180" i="65"/>
  <c r="AJ180" i="65"/>
  <c r="AI180" i="65"/>
  <c r="AH180" i="65"/>
  <c r="AG180" i="65"/>
  <c r="AF180" i="65"/>
  <c r="AE180" i="65"/>
  <c r="AD180" i="65"/>
  <c r="AC180" i="65"/>
  <c r="AB180" i="65"/>
  <c r="AA180" i="65"/>
  <c r="Z180" i="65"/>
  <c r="AO179" i="65"/>
  <c r="AN179" i="65"/>
  <c r="AM179" i="65"/>
  <c r="AL179" i="65"/>
  <c r="AK179" i="65"/>
  <c r="AJ179" i="65"/>
  <c r="AI179" i="65"/>
  <c r="AH179" i="65"/>
  <c r="AG179" i="65"/>
  <c r="AF179" i="65"/>
  <c r="AE179" i="65"/>
  <c r="AD179" i="65"/>
  <c r="AC179" i="65"/>
  <c r="AB179" i="65"/>
  <c r="AA179" i="65"/>
  <c r="Z179" i="65"/>
  <c r="U179" i="65"/>
  <c r="W179" i="65"/>
  <c r="AO178" i="65"/>
  <c r="AN178" i="65"/>
  <c r="AM178" i="65"/>
  <c r="AL178" i="65"/>
  <c r="AK178" i="65"/>
  <c r="AJ178" i="65"/>
  <c r="AI178" i="65"/>
  <c r="AH178" i="65"/>
  <c r="AG178" i="65"/>
  <c r="AF178" i="65"/>
  <c r="AE178" i="65"/>
  <c r="AD178" i="65"/>
  <c r="AC178" i="65"/>
  <c r="AB178" i="65"/>
  <c r="AA178" i="65"/>
  <c r="Z178" i="65"/>
  <c r="U178" i="65"/>
  <c r="W178" i="65"/>
  <c r="AN177" i="65"/>
  <c r="AM177" i="65"/>
  <c r="AK177" i="65"/>
  <c r="AJ177" i="65"/>
  <c r="AI177" i="65"/>
  <c r="AH177" i="65"/>
  <c r="AG177" i="65"/>
  <c r="AF177" i="65"/>
  <c r="AE177" i="65"/>
  <c r="AD177" i="65"/>
  <c r="AC177" i="65"/>
  <c r="AB177" i="65"/>
  <c r="AA177" i="65"/>
  <c r="Z177" i="65"/>
  <c r="AO176" i="65"/>
  <c r="AN176" i="65"/>
  <c r="AM176" i="65"/>
  <c r="AL176" i="65"/>
  <c r="AK176" i="65"/>
  <c r="AJ176" i="65"/>
  <c r="AI176" i="65"/>
  <c r="AH176" i="65"/>
  <c r="AG176" i="65"/>
  <c r="AF176" i="65"/>
  <c r="AE176" i="65"/>
  <c r="AD176" i="65"/>
  <c r="AC176" i="65"/>
  <c r="AB176" i="65"/>
  <c r="AA176" i="65"/>
  <c r="E176" i="65"/>
  <c r="Z176" i="65"/>
  <c r="AO175" i="65"/>
  <c r="AN175" i="65"/>
  <c r="AM175" i="65"/>
  <c r="AL175" i="65"/>
  <c r="AK175" i="65"/>
  <c r="AJ175" i="65"/>
  <c r="AI175" i="65"/>
  <c r="AH175" i="65"/>
  <c r="AG175" i="65"/>
  <c r="AF175" i="65"/>
  <c r="AE175" i="65"/>
  <c r="AD175" i="65"/>
  <c r="AC175" i="65"/>
  <c r="AB175" i="65"/>
  <c r="AA175" i="65"/>
  <c r="Z175" i="65"/>
  <c r="U175" i="65"/>
  <c r="W175" i="65"/>
  <c r="AO174" i="65"/>
  <c r="AN174" i="65"/>
  <c r="AM174" i="65"/>
  <c r="AL174" i="65"/>
  <c r="AK174" i="65"/>
  <c r="AJ174" i="65"/>
  <c r="AI174" i="65"/>
  <c r="AH174" i="65"/>
  <c r="AG174" i="65"/>
  <c r="AF174" i="65"/>
  <c r="AE174" i="65"/>
  <c r="AD174" i="65"/>
  <c r="AC174" i="65"/>
  <c r="AB174" i="65"/>
  <c r="AA174" i="65"/>
  <c r="Z174" i="65"/>
  <c r="U174" i="65"/>
  <c r="W174" i="65"/>
  <c r="AO173" i="65"/>
  <c r="AN173" i="65"/>
  <c r="AM173" i="65"/>
  <c r="AL173" i="65"/>
  <c r="AK173" i="65"/>
  <c r="AJ173" i="65"/>
  <c r="AI173" i="65"/>
  <c r="AH173" i="65"/>
  <c r="AG173" i="65"/>
  <c r="AF173" i="65"/>
  <c r="AE173" i="65"/>
  <c r="AD173" i="65"/>
  <c r="AC173" i="65"/>
  <c r="AB173" i="65"/>
  <c r="AA173" i="65"/>
  <c r="Z173" i="65"/>
  <c r="U173" i="65"/>
  <c r="W173" i="65"/>
  <c r="AO172" i="65"/>
  <c r="AN172" i="65"/>
  <c r="AM172" i="65"/>
  <c r="AL172" i="65"/>
  <c r="AK172" i="65"/>
  <c r="AJ172" i="65"/>
  <c r="AI172" i="65"/>
  <c r="AH172" i="65"/>
  <c r="AG172" i="65"/>
  <c r="AF172" i="65"/>
  <c r="AE172" i="65"/>
  <c r="AD172" i="65"/>
  <c r="AC172" i="65"/>
  <c r="AB172" i="65"/>
  <c r="AA172" i="65"/>
  <c r="Z172" i="65"/>
  <c r="U172" i="65"/>
  <c r="W172" i="65"/>
  <c r="AO171" i="65"/>
  <c r="AN171" i="65"/>
  <c r="AM171" i="65"/>
  <c r="AK171" i="65"/>
  <c r="AH171" i="65"/>
  <c r="AG171" i="65"/>
  <c r="AF171" i="65"/>
  <c r="AE171" i="65"/>
  <c r="AD171" i="65"/>
  <c r="AC171" i="65"/>
  <c r="AB171" i="65"/>
  <c r="AA171" i="65"/>
  <c r="E171" i="65"/>
  <c r="Z171" i="65"/>
  <c r="AO170" i="65"/>
  <c r="AN170" i="65"/>
  <c r="AM170" i="65"/>
  <c r="AL170" i="65"/>
  <c r="AK170" i="65"/>
  <c r="AJ170" i="65"/>
  <c r="AI170" i="65"/>
  <c r="AH170" i="65"/>
  <c r="AG170" i="65"/>
  <c r="AF170" i="65"/>
  <c r="AE170" i="65"/>
  <c r="AD170" i="65"/>
  <c r="AC170" i="65"/>
  <c r="AB170" i="65"/>
  <c r="AA170" i="65"/>
  <c r="Z170" i="65"/>
  <c r="U170" i="65"/>
  <c r="W170" i="65"/>
  <c r="AO169" i="65"/>
  <c r="AN169" i="65"/>
  <c r="AM169" i="65"/>
  <c r="AL169" i="65"/>
  <c r="AK169" i="65"/>
  <c r="AJ169" i="65"/>
  <c r="AI169" i="65"/>
  <c r="AH169" i="65"/>
  <c r="AG169" i="65"/>
  <c r="AF169" i="65"/>
  <c r="AE169" i="65"/>
  <c r="AD169" i="65"/>
  <c r="AC169" i="65"/>
  <c r="AB169" i="65"/>
  <c r="AA169" i="65"/>
  <c r="Z169" i="65"/>
  <c r="U169" i="65"/>
  <c r="W169" i="65"/>
  <c r="AO168" i="65"/>
  <c r="AN168" i="65"/>
  <c r="AM168" i="65"/>
  <c r="AL168" i="65"/>
  <c r="AK168" i="65"/>
  <c r="AJ168" i="65"/>
  <c r="AI168" i="65"/>
  <c r="AH168" i="65"/>
  <c r="AG168" i="65"/>
  <c r="AF168" i="65"/>
  <c r="AE168" i="65"/>
  <c r="AD168" i="65"/>
  <c r="AC168" i="65"/>
  <c r="AB168" i="65"/>
  <c r="AA168" i="65"/>
  <c r="Z168" i="65"/>
  <c r="U168" i="65"/>
  <c r="W168" i="65"/>
  <c r="AO167" i="65"/>
  <c r="AN167" i="65"/>
  <c r="AM167" i="65"/>
  <c r="AL167" i="65"/>
  <c r="AK167" i="65"/>
  <c r="AI167" i="65"/>
  <c r="AH167" i="65"/>
  <c r="AF167" i="65"/>
  <c r="AE167" i="65"/>
  <c r="AD167" i="65"/>
  <c r="AC167" i="65"/>
  <c r="AB167" i="65"/>
  <c r="AA167" i="65"/>
  <c r="Z167" i="65"/>
  <c r="O167" i="65"/>
  <c r="AJ167" i="65"/>
  <c r="AO166" i="65"/>
  <c r="AN166" i="65"/>
  <c r="AM166" i="65"/>
  <c r="AL166" i="65"/>
  <c r="AK166" i="65"/>
  <c r="AJ166" i="65"/>
  <c r="AI166" i="65"/>
  <c r="AH166" i="65"/>
  <c r="AG166" i="65"/>
  <c r="AF166" i="65"/>
  <c r="AE166" i="65"/>
  <c r="AD166" i="65"/>
  <c r="AC166" i="65"/>
  <c r="AB166" i="65"/>
  <c r="AA166" i="65"/>
  <c r="Z166" i="65"/>
  <c r="U166" i="65"/>
  <c r="W166" i="65"/>
  <c r="AO165" i="65"/>
  <c r="AN165" i="65"/>
  <c r="AM165" i="65"/>
  <c r="AL165" i="65"/>
  <c r="AK165" i="65"/>
  <c r="AJ165" i="65"/>
  <c r="AI165" i="65"/>
  <c r="AH165" i="65"/>
  <c r="AG165" i="65"/>
  <c r="AF165" i="65"/>
  <c r="AD165" i="65"/>
  <c r="AC165" i="65"/>
  <c r="AB165" i="65"/>
  <c r="AA165" i="65"/>
  <c r="Z165" i="65"/>
  <c r="J165" i="65"/>
  <c r="U165" i="65"/>
  <c r="W165" i="65"/>
  <c r="AO164" i="65"/>
  <c r="AN164" i="65"/>
  <c r="AM164" i="65"/>
  <c r="AL164" i="65"/>
  <c r="AK164" i="65"/>
  <c r="AJ164" i="65"/>
  <c r="AI164" i="65"/>
  <c r="AH164" i="65"/>
  <c r="AG164" i="65"/>
  <c r="AF164" i="65"/>
  <c r="AE164" i="65"/>
  <c r="AD164" i="65"/>
  <c r="AC164" i="65"/>
  <c r="AB164" i="65"/>
  <c r="AA164" i="65"/>
  <c r="Z164" i="65"/>
  <c r="U164" i="65"/>
  <c r="W164" i="65"/>
  <c r="AO163" i="65"/>
  <c r="AN163" i="65"/>
  <c r="AM163" i="65"/>
  <c r="AL163" i="65"/>
  <c r="AK163" i="65"/>
  <c r="AJ163" i="65"/>
  <c r="AI163" i="65"/>
  <c r="AH163" i="65"/>
  <c r="AG163" i="65"/>
  <c r="AF163" i="65"/>
  <c r="AE163" i="65"/>
  <c r="AD163" i="65"/>
  <c r="AC163" i="65"/>
  <c r="AB163" i="65"/>
  <c r="AA163" i="65"/>
  <c r="Z163" i="65"/>
  <c r="U163" i="65"/>
  <c r="W163" i="65"/>
  <c r="AO162" i="65"/>
  <c r="AN162" i="65"/>
  <c r="AM162" i="65"/>
  <c r="AL162" i="65"/>
  <c r="AK162" i="65"/>
  <c r="AJ162" i="65"/>
  <c r="AI162" i="65"/>
  <c r="AH162" i="65"/>
  <c r="AG162" i="65"/>
  <c r="AF162" i="65"/>
  <c r="AD162" i="65"/>
  <c r="AC162" i="65"/>
  <c r="AB162" i="65"/>
  <c r="AA162" i="65"/>
  <c r="Z162" i="65"/>
  <c r="AO161" i="65"/>
  <c r="AM161" i="65"/>
  <c r="AL161" i="65"/>
  <c r="AK161" i="65"/>
  <c r="AJ161" i="65"/>
  <c r="AI161" i="65"/>
  <c r="AH161" i="65"/>
  <c r="AF161" i="65"/>
  <c r="AE161" i="65"/>
  <c r="AD161" i="65"/>
  <c r="AC161" i="65"/>
  <c r="AB161" i="65"/>
  <c r="AA161" i="65"/>
  <c r="Z161" i="65"/>
  <c r="S161" i="65"/>
  <c r="AO160" i="65"/>
  <c r="AN160" i="65"/>
  <c r="AM160" i="65"/>
  <c r="AL160" i="65"/>
  <c r="AK160" i="65"/>
  <c r="AJ160" i="65"/>
  <c r="AI160" i="65"/>
  <c r="AH160" i="65"/>
  <c r="AG160" i="65"/>
  <c r="AF160" i="65"/>
  <c r="AE160" i="65"/>
  <c r="AD160" i="65"/>
  <c r="AC160" i="65"/>
  <c r="AB160" i="65"/>
  <c r="AA160" i="65"/>
  <c r="Z160" i="65"/>
  <c r="U160" i="65"/>
  <c r="W160" i="65"/>
  <c r="AO159" i="65"/>
  <c r="AN159" i="65"/>
  <c r="AM159" i="65"/>
  <c r="AL159" i="65"/>
  <c r="AK159" i="65"/>
  <c r="AJ159" i="65"/>
  <c r="AI159" i="65"/>
  <c r="AH159" i="65"/>
  <c r="AG159" i="65"/>
  <c r="AF159" i="65"/>
  <c r="AD159" i="65"/>
  <c r="AC159" i="65"/>
  <c r="AB159" i="65"/>
  <c r="AA159" i="65"/>
  <c r="Z159" i="65"/>
  <c r="J159" i="65"/>
  <c r="U159" i="65"/>
  <c r="W159" i="65"/>
  <c r="AO158" i="65"/>
  <c r="AN158" i="65"/>
  <c r="AM158" i="65"/>
  <c r="AL158" i="65"/>
  <c r="AK158" i="65"/>
  <c r="AJ158" i="65"/>
  <c r="AI158" i="65"/>
  <c r="AH158" i="65"/>
  <c r="AF158" i="65"/>
  <c r="AE158" i="65"/>
  <c r="AD158" i="65"/>
  <c r="AC158" i="65"/>
  <c r="AB158" i="65"/>
  <c r="AA158" i="65"/>
  <c r="Z158" i="65"/>
  <c r="AO157" i="65"/>
  <c r="AN157" i="65"/>
  <c r="AM157" i="65"/>
  <c r="AL157" i="65"/>
  <c r="AK157" i="65"/>
  <c r="AJ157" i="65"/>
  <c r="AI157" i="65"/>
  <c r="AH157" i="65"/>
  <c r="AG157" i="65"/>
  <c r="AF157" i="65"/>
  <c r="AE157" i="65"/>
  <c r="AD157" i="65"/>
  <c r="AC157" i="65"/>
  <c r="AB157" i="65"/>
  <c r="AA157" i="65"/>
  <c r="Z157" i="65"/>
  <c r="U157" i="65"/>
  <c r="W157" i="65"/>
  <c r="AO156" i="65"/>
  <c r="AN156" i="65"/>
  <c r="AM156" i="65"/>
  <c r="AK156" i="65"/>
  <c r="AJ156" i="65"/>
  <c r="AI156" i="65"/>
  <c r="AG156" i="65"/>
  <c r="AF156" i="65"/>
  <c r="AE156" i="65"/>
  <c r="AD156" i="65"/>
  <c r="AC156" i="65"/>
  <c r="AB156" i="65"/>
  <c r="AA156" i="65"/>
  <c r="Z156" i="65"/>
  <c r="M156" i="65"/>
  <c r="AO155" i="65"/>
  <c r="AN155" i="65"/>
  <c r="AM155" i="65"/>
  <c r="AK155" i="65"/>
  <c r="AJ155" i="65"/>
  <c r="AI155" i="65"/>
  <c r="AG155" i="65"/>
  <c r="AF155" i="65"/>
  <c r="AE155" i="65"/>
  <c r="AD155" i="65"/>
  <c r="AC155" i="65"/>
  <c r="AB155" i="65"/>
  <c r="AA155" i="65"/>
  <c r="Z155" i="65"/>
  <c r="Q155" i="65"/>
  <c r="AL155" i="65"/>
  <c r="M155" i="65"/>
  <c r="AO154" i="65"/>
  <c r="AN154" i="65"/>
  <c r="AM154" i="65"/>
  <c r="AL154" i="65"/>
  <c r="AK154" i="65"/>
  <c r="AJ154" i="65"/>
  <c r="AI154" i="65"/>
  <c r="AH154" i="65"/>
  <c r="AG154" i="65"/>
  <c r="AF154" i="65"/>
  <c r="AE154" i="65"/>
  <c r="AD154" i="65"/>
  <c r="AC154" i="65"/>
  <c r="AB154" i="65"/>
  <c r="AA154" i="65"/>
  <c r="Z154" i="65"/>
  <c r="U154" i="65"/>
  <c r="W154" i="65"/>
  <c r="AO153" i="65"/>
  <c r="AN153" i="65"/>
  <c r="AM153" i="65"/>
  <c r="AK153" i="65"/>
  <c r="AJ153" i="65"/>
  <c r="AI153" i="65"/>
  <c r="AH153" i="65"/>
  <c r="AG153" i="65"/>
  <c r="AF153" i="65"/>
  <c r="AE153" i="65"/>
  <c r="AD153" i="65"/>
  <c r="AC153" i="65"/>
  <c r="AB153" i="65"/>
  <c r="AA153" i="65"/>
  <c r="Z153" i="65"/>
  <c r="AO152" i="65"/>
  <c r="AN152" i="65"/>
  <c r="AM152" i="65"/>
  <c r="AL152" i="65"/>
  <c r="AK152" i="65"/>
  <c r="AJ152" i="65"/>
  <c r="AI152" i="65"/>
  <c r="AH152" i="65"/>
  <c r="AG152" i="65"/>
  <c r="AF152" i="65"/>
  <c r="AE152" i="65"/>
  <c r="AD152" i="65"/>
  <c r="AC152" i="65"/>
  <c r="AB152" i="65"/>
  <c r="AA152" i="65"/>
  <c r="Z152" i="65"/>
  <c r="U152" i="65"/>
  <c r="W152" i="65"/>
  <c r="AO151" i="65"/>
  <c r="AN151" i="65"/>
  <c r="AM151" i="65"/>
  <c r="AL151" i="65"/>
  <c r="AK151" i="65"/>
  <c r="AJ151" i="65"/>
  <c r="AI151" i="65"/>
  <c r="AH151" i="65"/>
  <c r="AG151" i="65"/>
  <c r="AF151" i="65"/>
  <c r="AE151" i="65"/>
  <c r="AD151" i="65"/>
  <c r="AC151" i="65"/>
  <c r="AB151" i="65"/>
  <c r="AA151" i="65"/>
  <c r="Z151" i="65"/>
  <c r="U151" i="65"/>
  <c r="W151" i="65"/>
  <c r="AO150" i="65"/>
  <c r="AN150" i="65"/>
  <c r="AM150" i="65"/>
  <c r="AK150" i="65"/>
  <c r="AJ150" i="65"/>
  <c r="AI150" i="65"/>
  <c r="AG150" i="65"/>
  <c r="AF150" i="65"/>
  <c r="AD150" i="65"/>
  <c r="AC150" i="65"/>
  <c r="AB150" i="65"/>
  <c r="AA150" i="65"/>
  <c r="Z150" i="65"/>
  <c r="Q150" i="65"/>
  <c r="AL150" i="65"/>
  <c r="M150" i="65"/>
  <c r="AH150" i="65"/>
  <c r="J150" i="65"/>
  <c r="AO149" i="65"/>
  <c r="AN149" i="65"/>
  <c r="AM149" i="65"/>
  <c r="AL149" i="65"/>
  <c r="AK149" i="65"/>
  <c r="AJ149" i="65"/>
  <c r="AI149" i="65"/>
  <c r="AH149" i="65"/>
  <c r="AG149" i="65"/>
  <c r="AF149" i="65"/>
  <c r="AE149" i="65"/>
  <c r="AD149" i="65"/>
  <c r="AC149" i="65"/>
  <c r="AB149" i="65"/>
  <c r="AA149" i="65"/>
  <c r="Z149" i="65"/>
  <c r="U149" i="65"/>
  <c r="W149" i="65"/>
  <c r="AO148" i="65"/>
  <c r="AN148" i="65"/>
  <c r="AM148" i="65"/>
  <c r="AL148" i="65"/>
  <c r="AK148" i="65"/>
  <c r="AJ148" i="65"/>
  <c r="AI148" i="65"/>
  <c r="AH148" i="65"/>
  <c r="AG148" i="65"/>
  <c r="AF148" i="65"/>
  <c r="AE148" i="65"/>
  <c r="AD148" i="65"/>
  <c r="AC148" i="65"/>
  <c r="AB148" i="65"/>
  <c r="AA148" i="65"/>
  <c r="Z148" i="65"/>
  <c r="U148" i="65"/>
  <c r="W148" i="65"/>
  <c r="AO147" i="65"/>
  <c r="AN147" i="65"/>
  <c r="AM147" i="65"/>
  <c r="AL147" i="65"/>
  <c r="AK147" i="65"/>
  <c r="AJ147" i="65"/>
  <c r="AI147" i="65"/>
  <c r="AG147" i="65"/>
  <c r="AF147" i="65"/>
  <c r="AD147" i="65"/>
  <c r="AC147" i="65"/>
  <c r="AB147" i="65"/>
  <c r="AA147" i="65"/>
  <c r="Z147" i="65"/>
  <c r="J147" i="65"/>
  <c r="AE147" i="65"/>
  <c r="AO146" i="65"/>
  <c r="AN146" i="65"/>
  <c r="AM146" i="65"/>
  <c r="AL146" i="65"/>
  <c r="AK146" i="65"/>
  <c r="AJ146" i="65"/>
  <c r="AI146" i="65"/>
  <c r="AH146" i="65"/>
  <c r="AG146" i="65"/>
  <c r="AF146" i="65"/>
  <c r="AE146" i="65"/>
  <c r="AD146" i="65"/>
  <c r="AC146" i="65"/>
  <c r="AB146" i="65"/>
  <c r="AA146" i="65"/>
  <c r="Z146" i="65"/>
  <c r="U146" i="65"/>
  <c r="W146" i="65"/>
  <c r="AO145" i="65"/>
  <c r="AN145" i="65"/>
  <c r="AM145" i="65"/>
  <c r="AL145" i="65"/>
  <c r="AK145" i="65"/>
  <c r="AJ145" i="65"/>
  <c r="AI145" i="65"/>
  <c r="AH145" i="65"/>
  <c r="AG145" i="65"/>
  <c r="AF145" i="65"/>
  <c r="AE145" i="65"/>
  <c r="AD145" i="65"/>
  <c r="AC145" i="65"/>
  <c r="AB145" i="65"/>
  <c r="AA145" i="65"/>
  <c r="Z145" i="65"/>
  <c r="U145" i="65"/>
  <c r="W145" i="65"/>
  <c r="AO144" i="65"/>
  <c r="AN144" i="65"/>
  <c r="AM144" i="65"/>
  <c r="AL144" i="65"/>
  <c r="AK144" i="65"/>
  <c r="AJ144" i="65"/>
  <c r="AI144" i="65"/>
  <c r="AH144" i="65"/>
  <c r="AG144" i="65"/>
  <c r="AF144" i="65"/>
  <c r="AE144" i="65"/>
  <c r="AD144" i="65"/>
  <c r="AC144" i="65"/>
  <c r="AB144" i="65"/>
  <c r="AA144" i="65"/>
  <c r="Z144" i="65"/>
  <c r="U144" i="65"/>
  <c r="W144" i="65"/>
  <c r="AO143" i="65"/>
  <c r="AN143" i="65"/>
  <c r="AM143" i="65"/>
  <c r="AL143" i="65"/>
  <c r="AK143" i="65"/>
  <c r="AJ143" i="65"/>
  <c r="AI143" i="65"/>
  <c r="AH143" i="65"/>
  <c r="AG143" i="65"/>
  <c r="AF143" i="65"/>
  <c r="AE143" i="65"/>
  <c r="AD143" i="65"/>
  <c r="AC143" i="65"/>
  <c r="AB143" i="65"/>
  <c r="AA143" i="65"/>
  <c r="Z143" i="65"/>
  <c r="U143" i="65"/>
  <c r="W143" i="65"/>
  <c r="AO142" i="65"/>
  <c r="AN142" i="65"/>
  <c r="AM142" i="65"/>
  <c r="AG142" i="65"/>
  <c r="AD142" i="65"/>
  <c r="AC142" i="65"/>
  <c r="AB142" i="65"/>
  <c r="AA142" i="65"/>
  <c r="Z142" i="65"/>
  <c r="P142" i="65"/>
  <c r="AK142" i="65"/>
  <c r="O142" i="65"/>
  <c r="AJ142" i="65"/>
  <c r="N142" i="65"/>
  <c r="AI142" i="65"/>
  <c r="M142" i="65"/>
  <c r="K142" i="65"/>
  <c r="AF142" i="65"/>
  <c r="J142" i="65"/>
  <c r="AE142" i="65"/>
  <c r="AO141" i="65"/>
  <c r="AN141" i="65"/>
  <c r="AM141" i="65"/>
  <c r="AL141" i="65"/>
  <c r="AK141" i="65"/>
  <c r="AJ141" i="65"/>
  <c r="AI141" i="65"/>
  <c r="AH141" i="65"/>
  <c r="AG141" i="65"/>
  <c r="AF141" i="65"/>
  <c r="AE141" i="65"/>
  <c r="AD141" i="65"/>
  <c r="AC141" i="65"/>
  <c r="AB141" i="65"/>
  <c r="AA141" i="65"/>
  <c r="Z141" i="65"/>
  <c r="U141" i="65"/>
  <c r="W141" i="65"/>
  <c r="AO140" i="65"/>
  <c r="AN140" i="65"/>
  <c r="AM140" i="65"/>
  <c r="AL140" i="65"/>
  <c r="AK140" i="65"/>
  <c r="AJ140" i="65"/>
  <c r="AI140" i="65"/>
  <c r="AH140" i="65"/>
  <c r="AG140" i="65"/>
  <c r="AF140" i="65"/>
  <c r="AE140" i="65"/>
  <c r="AD140" i="65"/>
  <c r="AC140" i="65"/>
  <c r="AB140" i="65"/>
  <c r="AA140" i="65"/>
  <c r="Z140" i="65"/>
  <c r="U140" i="65"/>
  <c r="W140" i="65"/>
  <c r="AO139" i="65"/>
  <c r="AN139" i="65"/>
  <c r="AM139" i="65"/>
  <c r="AL139" i="65"/>
  <c r="AK139" i="65"/>
  <c r="AJ139" i="65"/>
  <c r="AI139" i="65"/>
  <c r="AH139" i="65"/>
  <c r="AG139" i="65"/>
  <c r="AF139" i="65"/>
  <c r="AE139" i="65"/>
  <c r="AD139" i="65"/>
  <c r="AC139" i="65"/>
  <c r="AB139" i="65"/>
  <c r="AA139" i="65"/>
  <c r="Z139" i="65"/>
  <c r="U139" i="65"/>
  <c r="W139" i="65"/>
  <c r="AO131" i="65"/>
  <c r="AN131" i="65"/>
  <c r="AM131" i="65"/>
  <c r="AL131" i="65"/>
  <c r="AK131" i="65"/>
  <c r="AJ131" i="65"/>
  <c r="AI131" i="65"/>
  <c r="AH131" i="65"/>
  <c r="AG131" i="65"/>
  <c r="AF131" i="65"/>
  <c r="AE131" i="65"/>
  <c r="AD131" i="65"/>
  <c r="AC131" i="65"/>
  <c r="AB131" i="65"/>
  <c r="AA131" i="65"/>
  <c r="Z131" i="65"/>
  <c r="U131" i="65"/>
  <c r="W131" i="65"/>
  <c r="AO130" i="65"/>
  <c r="AN130" i="65"/>
  <c r="AM130" i="65"/>
  <c r="AL130" i="65"/>
  <c r="AK130" i="65"/>
  <c r="AJ130" i="65"/>
  <c r="AI130" i="65"/>
  <c r="AH130" i="65"/>
  <c r="AG130" i="65"/>
  <c r="AF130" i="65"/>
  <c r="AE130" i="65"/>
  <c r="AD130" i="65"/>
  <c r="AB130" i="65"/>
  <c r="AA130" i="65"/>
  <c r="Z130" i="65"/>
  <c r="AO129" i="65"/>
  <c r="AN129" i="65"/>
  <c r="AM129" i="65"/>
  <c r="AL129" i="65"/>
  <c r="AK129" i="65"/>
  <c r="AJ129" i="65"/>
  <c r="AI129" i="65"/>
  <c r="AH129" i="65"/>
  <c r="AG129" i="65"/>
  <c r="AF129" i="65"/>
  <c r="AE129" i="65"/>
  <c r="AD129" i="65"/>
  <c r="AC129" i="65"/>
  <c r="AB129" i="65"/>
  <c r="AA129" i="65"/>
  <c r="Z129" i="65"/>
  <c r="U129" i="65"/>
  <c r="W129" i="65"/>
  <c r="AO128" i="65"/>
  <c r="AN128" i="65"/>
  <c r="AM128" i="65"/>
  <c r="AL128" i="65"/>
  <c r="AK128" i="65"/>
  <c r="AJ128" i="65"/>
  <c r="AI128" i="65"/>
  <c r="AH128" i="65"/>
  <c r="AG128" i="65"/>
  <c r="AF128" i="65"/>
  <c r="AE128" i="65"/>
  <c r="AD128" i="65"/>
  <c r="AB128" i="65"/>
  <c r="AA128" i="65"/>
  <c r="Z128" i="65"/>
  <c r="AO127" i="65"/>
  <c r="AN127" i="65"/>
  <c r="AM127" i="65"/>
  <c r="AL127" i="65"/>
  <c r="AK127" i="65"/>
  <c r="AJ127" i="65"/>
  <c r="AI127" i="65"/>
  <c r="AH127" i="65"/>
  <c r="AG127" i="65"/>
  <c r="AF127" i="65"/>
  <c r="AE127" i="65"/>
  <c r="AD127" i="65"/>
  <c r="AC127" i="65"/>
  <c r="AB127" i="65"/>
  <c r="AA127" i="65"/>
  <c r="Z127" i="65"/>
  <c r="U127" i="65"/>
  <c r="W127" i="65"/>
  <c r="AO126" i="65"/>
  <c r="AN126" i="65"/>
  <c r="AM126" i="65"/>
  <c r="AL126" i="65"/>
  <c r="AK126" i="65"/>
  <c r="AJ126" i="65"/>
  <c r="AI126" i="65"/>
  <c r="AH126" i="65"/>
  <c r="AG126" i="65"/>
  <c r="AF126" i="65"/>
  <c r="AE126" i="65"/>
  <c r="AD126" i="65"/>
  <c r="AC126" i="65"/>
  <c r="AB126" i="65"/>
  <c r="AA126" i="65"/>
  <c r="Z126" i="65"/>
  <c r="U126" i="65"/>
  <c r="W126" i="65"/>
  <c r="AO125" i="65"/>
  <c r="AN125" i="65"/>
  <c r="AM125" i="65"/>
  <c r="AL125" i="65"/>
  <c r="AK125" i="65"/>
  <c r="AJ125" i="65"/>
  <c r="AI125" i="65"/>
  <c r="AH125" i="65"/>
  <c r="AG125" i="65"/>
  <c r="AF125" i="65"/>
  <c r="AE125" i="65"/>
  <c r="AD125" i="65"/>
  <c r="AC125" i="65"/>
  <c r="AB125" i="65"/>
  <c r="AA125" i="65"/>
  <c r="Z125" i="65"/>
  <c r="U125" i="65"/>
  <c r="W125" i="65"/>
  <c r="AO124" i="65"/>
  <c r="AN124" i="65"/>
  <c r="AM124" i="65"/>
  <c r="AL124" i="65"/>
  <c r="AK124" i="65"/>
  <c r="AJ124" i="65"/>
  <c r="AI124" i="65"/>
  <c r="AH124" i="65"/>
  <c r="AG124" i="65"/>
  <c r="AF124" i="65"/>
  <c r="AE124" i="65"/>
  <c r="AD124" i="65"/>
  <c r="AC124" i="65"/>
  <c r="AB124" i="65"/>
  <c r="AA124" i="65"/>
  <c r="Z124" i="65"/>
  <c r="U124" i="65"/>
  <c r="W124" i="65"/>
  <c r="AO123" i="65"/>
  <c r="AN123" i="65"/>
  <c r="AM123" i="65"/>
  <c r="AL123" i="65"/>
  <c r="AK123" i="65"/>
  <c r="AJ123" i="65"/>
  <c r="AI123" i="65"/>
  <c r="AH123" i="65"/>
  <c r="AG123" i="65"/>
  <c r="AF123" i="65"/>
  <c r="AE123" i="65"/>
  <c r="AD123" i="65"/>
  <c r="AC123" i="65"/>
  <c r="AB123" i="65"/>
  <c r="AA123" i="65"/>
  <c r="Z123" i="65"/>
  <c r="U123" i="65"/>
  <c r="W123" i="65"/>
  <c r="AO122" i="65"/>
  <c r="AN122" i="65"/>
  <c r="AM122" i="65"/>
  <c r="AL122" i="65"/>
  <c r="AK122" i="65"/>
  <c r="AJ122" i="65"/>
  <c r="AI122" i="65"/>
  <c r="AH122" i="65"/>
  <c r="AG122" i="65"/>
  <c r="AF122" i="65"/>
  <c r="AE122" i="65"/>
  <c r="AD122" i="65"/>
  <c r="AC122" i="65"/>
  <c r="AB122" i="65"/>
  <c r="AA122" i="65"/>
  <c r="Z122" i="65"/>
  <c r="U122" i="65"/>
  <c r="W122" i="65"/>
  <c r="AO121" i="65"/>
  <c r="AN121" i="65"/>
  <c r="AM121" i="65"/>
  <c r="AL121" i="65"/>
  <c r="AK121" i="65"/>
  <c r="AJ121" i="65"/>
  <c r="AI121" i="65"/>
  <c r="AH121" i="65"/>
  <c r="AG121" i="65"/>
  <c r="AF121" i="65"/>
  <c r="AE121" i="65"/>
  <c r="AD121" i="65"/>
  <c r="AB121" i="65"/>
  <c r="AA121" i="65"/>
  <c r="Z121" i="65"/>
  <c r="H121" i="65"/>
  <c r="AO120" i="65"/>
  <c r="AN120" i="65"/>
  <c r="AM120" i="65"/>
  <c r="AL120" i="65"/>
  <c r="AK120" i="65"/>
  <c r="AJ120" i="65"/>
  <c r="AI120" i="65"/>
  <c r="AH120" i="65"/>
  <c r="AG120" i="65"/>
  <c r="AF120" i="65"/>
  <c r="AE120" i="65"/>
  <c r="AD120" i="65"/>
  <c r="AC120" i="65"/>
  <c r="AB120" i="65"/>
  <c r="AA120" i="65"/>
  <c r="Z120" i="65"/>
  <c r="U120" i="65"/>
  <c r="W120" i="65"/>
  <c r="AO119" i="65"/>
  <c r="AN119" i="65"/>
  <c r="AM119" i="65"/>
  <c r="AL119" i="65"/>
  <c r="AK119" i="65"/>
  <c r="AJ119" i="65"/>
  <c r="AI119" i="65"/>
  <c r="AH119" i="65"/>
  <c r="AG119" i="65"/>
  <c r="AF119" i="65"/>
  <c r="AE119" i="65"/>
  <c r="AD119" i="65"/>
  <c r="AC119" i="65"/>
  <c r="AB119" i="65"/>
  <c r="AA119" i="65"/>
  <c r="Z119" i="65"/>
  <c r="U119" i="65"/>
  <c r="W119" i="65"/>
  <c r="AO118" i="65"/>
  <c r="AN118" i="65"/>
  <c r="AM118" i="65"/>
  <c r="AL118" i="65"/>
  <c r="AK118" i="65"/>
  <c r="AJ118" i="65"/>
  <c r="AI118" i="65"/>
  <c r="AH118" i="65"/>
  <c r="AG118" i="65"/>
  <c r="AF118" i="65"/>
  <c r="AE118" i="65"/>
  <c r="AD118" i="65"/>
  <c r="AC118" i="65"/>
  <c r="AB118" i="65"/>
  <c r="AA118" i="65"/>
  <c r="Z118" i="65"/>
  <c r="U118" i="65"/>
  <c r="W118" i="65"/>
  <c r="AO117" i="65"/>
  <c r="AN117" i="65"/>
  <c r="AM117" i="65"/>
  <c r="AL117" i="65"/>
  <c r="AK117" i="65"/>
  <c r="AJ117" i="65"/>
  <c r="AI117" i="65"/>
  <c r="AH117" i="65"/>
  <c r="AG117" i="65"/>
  <c r="AF117" i="65"/>
  <c r="AE117" i="65"/>
  <c r="AD117" i="65"/>
  <c r="AC117" i="65"/>
  <c r="AB117" i="65"/>
  <c r="AA117" i="65"/>
  <c r="Z117" i="65"/>
  <c r="U117" i="65"/>
  <c r="W117" i="65"/>
  <c r="AO116" i="65"/>
  <c r="AN116" i="65"/>
  <c r="AM116" i="65"/>
  <c r="AL116" i="65"/>
  <c r="AK116" i="65"/>
  <c r="AJ116" i="65"/>
  <c r="AI116" i="65"/>
  <c r="AH116" i="65"/>
  <c r="AG116" i="65"/>
  <c r="AF116" i="65"/>
  <c r="AE116" i="65"/>
  <c r="AD116" i="65"/>
  <c r="AC116" i="65"/>
  <c r="AB116" i="65"/>
  <c r="AA116" i="65"/>
  <c r="Z116" i="65"/>
  <c r="U116" i="65"/>
  <c r="W116" i="65"/>
  <c r="AO115" i="65"/>
  <c r="AN115" i="65"/>
  <c r="AM115" i="65"/>
  <c r="AL115" i="65"/>
  <c r="AK115" i="65"/>
  <c r="AJ115" i="65"/>
  <c r="AI115" i="65"/>
  <c r="AH115" i="65"/>
  <c r="AG115" i="65"/>
  <c r="AF115" i="65"/>
  <c r="AE115" i="65"/>
  <c r="AD115" i="65"/>
  <c r="AC115" i="65"/>
  <c r="AB115" i="65"/>
  <c r="AA115" i="65"/>
  <c r="Z115" i="65"/>
  <c r="U115" i="65"/>
  <c r="W115" i="65"/>
  <c r="AO114" i="65"/>
  <c r="AN114" i="65"/>
  <c r="AM114" i="65"/>
  <c r="AL114" i="65"/>
  <c r="AK114" i="65"/>
  <c r="AJ114" i="65"/>
  <c r="AI114" i="65"/>
  <c r="AH114" i="65"/>
  <c r="AG114" i="65"/>
  <c r="AF114" i="65"/>
  <c r="AE114" i="65"/>
  <c r="AD114" i="65"/>
  <c r="AC114" i="65"/>
  <c r="AB114" i="65"/>
  <c r="AA114" i="65"/>
  <c r="Z114" i="65"/>
  <c r="U114" i="65"/>
  <c r="W114" i="65"/>
  <c r="AO113" i="65"/>
  <c r="AN113" i="65"/>
  <c r="AM113" i="65"/>
  <c r="AL113" i="65"/>
  <c r="AK113" i="65"/>
  <c r="AJ113" i="65"/>
  <c r="AI113" i="65"/>
  <c r="AH113" i="65"/>
  <c r="AG113" i="65"/>
  <c r="AF113" i="65"/>
  <c r="AE113" i="65"/>
  <c r="AD113" i="65"/>
  <c r="AC113" i="65"/>
  <c r="AB113" i="65"/>
  <c r="AA113" i="65"/>
  <c r="Z113" i="65"/>
  <c r="U113" i="65"/>
  <c r="W113" i="65"/>
  <c r="AO112" i="65"/>
  <c r="AN112" i="65"/>
  <c r="AM112" i="65"/>
  <c r="AL112" i="65"/>
  <c r="AK112" i="65"/>
  <c r="AJ112" i="65"/>
  <c r="AI112" i="65"/>
  <c r="AH112" i="65"/>
  <c r="AG112" i="65"/>
  <c r="AF112" i="65"/>
  <c r="AE112" i="65"/>
  <c r="AD112" i="65"/>
  <c r="AC112" i="65"/>
  <c r="AB112" i="65"/>
  <c r="AA112" i="65"/>
  <c r="Z112" i="65"/>
  <c r="U112" i="65"/>
  <c r="W112" i="65"/>
  <c r="AO111" i="65"/>
  <c r="AN111" i="65"/>
  <c r="AM111" i="65"/>
  <c r="AL111" i="65"/>
  <c r="AK111" i="65"/>
  <c r="AJ111" i="65"/>
  <c r="AI111" i="65"/>
  <c r="AH111" i="65"/>
  <c r="AG111" i="65"/>
  <c r="AF111" i="65"/>
  <c r="AE111" i="65"/>
  <c r="AD111" i="65"/>
  <c r="AC111" i="65"/>
  <c r="AB111" i="65"/>
  <c r="AA111" i="65"/>
  <c r="Z111" i="65"/>
  <c r="U111" i="65"/>
  <c r="W111" i="65"/>
  <c r="AO110" i="65"/>
  <c r="AN110" i="65"/>
  <c r="AM110" i="65"/>
  <c r="AL110" i="65"/>
  <c r="AK110" i="65"/>
  <c r="AJ110" i="65"/>
  <c r="AI110" i="65"/>
  <c r="AH110" i="65"/>
  <c r="AG110" i="65"/>
  <c r="AF110" i="65"/>
  <c r="AE110" i="65"/>
  <c r="AD110" i="65"/>
  <c r="AC110" i="65"/>
  <c r="AB110" i="65"/>
  <c r="AA110" i="65"/>
  <c r="Z110" i="65"/>
  <c r="U110" i="65"/>
  <c r="W110" i="65"/>
  <c r="AO109" i="65"/>
  <c r="AN109" i="65"/>
  <c r="AM109" i="65"/>
  <c r="AL109" i="65"/>
  <c r="AK109" i="65"/>
  <c r="AJ109" i="65"/>
  <c r="AI109" i="65"/>
  <c r="AH109" i="65"/>
  <c r="AG109" i="65"/>
  <c r="AF109" i="65"/>
  <c r="AE109" i="65"/>
  <c r="AD109" i="65"/>
  <c r="AC109" i="65"/>
  <c r="AB109" i="65"/>
  <c r="AA109" i="65"/>
  <c r="Z109" i="65"/>
  <c r="U109" i="65"/>
  <c r="W109" i="65"/>
  <c r="AO108" i="65"/>
  <c r="AN108" i="65"/>
  <c r="AM108" i="65"/>
  <c r="AL108" i="65"/>
  <c r="AK108" i="65"/>
  <c r="AJ108" i="65"/>
  <c r="AI108" i="65"/>
  <c r="AH108" i="65"/>
  <c r="AG108" i="65"/>
  <c r="AF108" i="65"/>
  <c r="AE108" i="65"/>
  <c r="AD108" i="65"/>
  <c r="AC108" i="65"/>
  <c r="AB108" i="65"/>
  <c r="AA108" i="65"/>
  <c r="Z108" i="65"/>
  <c r="U108" i="65"/>
  <c r="W108" i="65"/>
  <c r="AO107" i="65"/>
  <c r="AN107" i="65"/>
  <c r="AM107" i="65"/>
  <c r="AL107" i="65"/>
  <c r="AK107" i="65"/>
  <c r="AJ107" i="65"/>
  <c r="AI107" i="65"/>
  <c r="AH107" i="65"/>
  <c r="AG107" i="65"/>
  <c r="AF107" i="65"/>
  <c r="AE107" i="65"/>
  <c r="AD107" i="65"/>
  <c r="AC107" i="65"/>
  <c r="AB107" i="65"/>
  <c r="AA107" i="65"/>
  <c r="Z107" i="65"/>
  <c r="U107" i="65"/>
  <c r="W107" i="65"/>
  <c r="AO106" i="65"/>
  <c r="AN106" i="65"/>
  <c r="AM106" i="65"/>
  <c r="AL106" i="65"/>
  <c r="AK106" i="65"/>
  <c r="AJ106" i="65"/>
  <c r="AI106" i="65"/>
  <c r="AH106" i="65"/>
  <c r="AG106" i="65"/>
  <c r="AF106" i="65"/>
  <c r="AE106" i="65"/>
  <c r="AD106" i="65"/>
  <c r="AC106" i="65"/>
  <c r="AB106" i="65"/>
  <c r="AA106" i="65"/>
  <c r="Z106" i="65"/>
  <c r="U106" i="65"/>
  <c r="W106" i="65"/>
  <c r="AO105" i="65"/>
  <c r="AN105" i="65"/>
  <c r="AM105" i="65"/>
  <c r="AL105" i="65"/>
  <c r="AK105" i="65"/>
  <c r="AJ105" i="65"/>
  <c r="AI105" i="65"/>
  <c r="AH105" i="65"/>
  <c r="AG105" i="65"/>
  <c r="AF105" i="65"/>
  <c r="AE105" i="65"/>
  <c r="AD105" i="65"/>
  <c r="AC105" i="65"/>
  <c r="AB105" i="65"/>
  <c r="AA105" i="65"/>
  <c r="Z105" i="65"/>
  <c r="U105" i="65"/>
  <c r="W105" i="65"/>
  <c r="AO104" i="65"/>
  <c r="AN104" i="65"/>
  <c r="AM104" i="65"/>
  <c r="AL104" i="65"/>
  <c r="AK104" i="65"/>
  <c r="AJ104" i="65"/>
  <c r="AI104" i="65"/>
  <c r="AH104" i="65"/>
  <c r="AG104" i="65"/>
  <c r="AF104" i="65"/>
  <c r="AE104" i="65"/>
  <c r="AD104" i="65"/>
  <c r="AC104" i="65"/>
  <c r="AB104" i="65"/>
  <c r="AA104" i="65"/>
  <c r="Z104" i="65"/>
  <c r="U104" i="65"/>
  <c r="W104" i="65"/>
  <c r="AO103" i="65"/>
  <c r="AN103" i="65"/>
  <c r="AM103" i="65"/>
  <c r="AL103" i="65"/>
  <c r="AK103" i="65"/>
  <c r="AJ103" i="65"/>
  <c r="AI103" i="65"/>
  <c r="AH103" i="65"/>
  <c r="AG103" i="65"/>
  <c r="AF103" i="65"/>
  <c r="AE103" i="65"/>
  <c r="AD103" i="65"/>
  <c r="AC103" i="65"/>
  <c r="AB103" i="65"/>
  <c r="AA103" i="65"/>
  <c r="Z103" i="65"/>
  <c r="U103" i="65"/>
  <c r="W103" i="65"/>
  <c r="AO102" i="65"/>
  <c r="AN102" i="65"/>
  <c r="AM102" i="65"/>
  <c r="AL102" i="65"/>
  <c r="AK102" i="65"/>
  <c r="AJ102" i="65"/>
  <c r="AI102" i="65"/>
  <c r="AH102" i="65"/>
  <c r="AG102" i="65"/>
  <c r="AF102" i="65"/>
  <c r="AE102" i="65"/>
  <c r="AD102" i="65"/>
  <c r="AC102" i="65"/>
  <c r="AB102" i="65"/>
  <c r="AA102" i="65"/>
  <c r="Z102" i="65"/>
  <c r="U102" i="65"/>
  <c r="W102" i="65"/>
  <c r="AO101" i="65"/>
  <c r="AN101" i="65"/>
  <c r="AM101" i="65"/>
  <c r="AL101" i="65"/>
  <c r="AK101" i="65"/>
  <c r="AJ101" i="65"/>
  <c r="AI101" i="65"/>
  <c r="AH101" i="65"/>
  <c r="AG101" i="65"/>
  <c r="AF101" i="65"/>
  <c r="AE101" i="65"/>
  <c r="AD101" i="65"/>
  <c r="AC101" i="65"/>
  <c r="AB101" i="65"/>
  <c r="AA101" i="65"/>
  <c r="Z101" i="65"/>
  <c r="U101" i="65"/>
  <c r="W101" i="65"/>
  <c r="AO100" i="65"/>
  <c r="AN100" i="65"/>
  <c r="AM100" i="65"/>
  <c r="AL100" i="65"/>
  <c r="AK100" i="65"/>
  <c r="AJ100" i="65"/>
  <c r="AI100" i="65"/>
  <c r="AH100" i="65"/>
  <c r="AG100" i="65"/>
  <c r="AF100" i="65"/>
  <c r="AE100" i="65"/>
  <c r="AD100" i="65"/>
  <c r="AC100" i="65"/>
  <c r="AB100" i="65"/>
  <c r="AA100" i="65"/>
  <c r="Z100" i="65"/>
  <c r="U100" i="65"/>
  <c r="W100" i="65"/>
  <c r="AO99" i="65"/>
  <c r="AN99" i="65"/>
  <c r="AM99" i="65"/>
  <c r="AL99" i="65"/>
  <c r="AK99" i="65"/>
  <c r="AJ99" i="65"/>
  <c r="AI99" i="65"/>
  <c r="AH99" i="65"/>
  <c r="AG99" i="65"/>
  <c r="AF99" i="65"/>
  <c r="AE99" i="65"/>
  <c r="AD99" i="65"/>
  <c r="AC99" i="65"/>
  <c r="AB99" i="65"/>
  <c r="AA99" i="65"/>
  <c r="Z99" i="65"/>
  <c r="U99" i="65"/>
  <c r="W99" i="65"/>
  <c r="AO98" i="65"/>
  <c r="AN98" i="65"/>
  <c r="AM98" i="65"/>
  <c r="AL98" i="65"/>
  <c r="AK98" i="65"/>
  <c r="AJ98" i="65"/>
  <c r="AI98" i="65"/>
  <c r="AH98" i="65"/>
  <c r="AG98" i="65"/>
  <c r="AF98" i="65"/>
  <c r="AE98" i="65"/>
  <c r="AD98" i="65"/>
  <c r="AC98" i="65"/>
  <c r="AB98" i="65"/>
  <c r="AA98" i="65"/>
  <c r="Z98" i="65"/>
  <c r="U98" i="65"/>
  <c r="W98" i="65"/>
  <c r="AO97" i="65"/>
  <c r="AN97" i="65"/>
  <c r="AM97" i="65"/>
  <c r="AL97" i="65"/>
  <c r="AK97" i="65"/>
  <c r="AJ97" i="65"/>
  <c r="AI97" i="65"/>
  <c r="AH97" i="65"/>
  <c r="AG97" i="65"/>
  <c r="AF97" i="65"/>
  <c r="AE97" i="65"/>
  <c r="AD97" i="65"/>
  <c r="AC97" i="65"/>
  <c r="AB97" i="65"/>
  <c r="AA97" i="65"/>
  <c r="Z97" i="65"/>
  <c r="U97" i="65"/>
  <c r="W97" i="65"/>
  <c r="AO96" i="65"/>
  <c r="AN96" i="65"/>
  <c r="AM96" i="65"/>
  <c r="AL96" i="65"/>
  <c r="AK96" i="65"/>
  <c r="AJ96" i="65"/>
  <c r="AI96" i="65"/>
  <c r="AH96" i="65"/>
  <c r="AG96" i="65"/>
  <c r="AF96" i="65"/>
  <c r="AE96" i="65"/>
  <c r="AD96" i="65"/>
  <c r="AC96" i="65"/>
  <c r="AB96" i="65"/>
  <c r="AA96" i="65"/>
  <c r="Z96" i="65"/>
  <c r="U96" i="65"/>
  <c r="W96" i="65"/>
  <c r="AO95" i="65"/>
  <c r="AN95" i="65"/>
  <c r="AM95" i="65"/>
  <c r="AL95" i="65"/>
  <c r="AK95" i="65"/>
  <c r="AJ95" i="65"/>
  <c r="AI95" i="65"/>
  <c r="AH95" i="65"/>
  <c r="AG95" i="65"/>
  <c r="AF95" i="65"/>
  <c r="AE95" i="65"/>
  <c r="AD95" i="65"/>
  <c r="AC95" i="65"/>
  <c r="AB95" i="65"/>
  <c r="Z95" i="65"/>
  <c r="AO94" i="65"/>
  <c r="AN94" i="65"/>
  <c r="AM94" i="65"/>
  <c r="AL94" i="65"/>
  <c r="AK94" i="65"/>
  <c r="AJ94" i="65"/>
  <c r="AI94" i="65"/>
  <c r="AH94" i="65"/>
  <c r="AG94" i="65"/>
  <c r="AF94" i="65"/>
  <c r="AE94" i="65"/>
  <c r="AD94" i="65"/>
  <c r="AC94" i="65"/>
  <c r="AB94" i="65"/>
  <c r="Z94" i="65"/>
  <c r="AO93" i="65"/>
  <c r="AN93" i="65"/>
  <c r="AM93" i="65"/>
  <c r="AL93" i="65"/>
  <c r="AK93" i="65"/>
  <c r="AJ93" i="65"/>
  <c r="AI93" i="65"/>
  <c r="AH93" i="65"/>
  <c r="AG93" i="65"/>
  <c r="AF93" i="65"/>
  <c r="AE93" i="65"/>
  <c r="AD93" i="65"/>
  <c r="AC93" i="65"/>
  <c r="AB93" i="65"/>
  <c r="Z93" i="65"/>
  <c r="AO92" i="65"/>
  <c r="AN92" i="65"/>
  <c r="AM92" i="65"/>
  <c r="AL92" i="65"/>
  <c r="AK92" i="65"/>
  <c r="AJ92" i="65"/>
  <c r="AI92" i="65"/>
  <c r="AH92" i="65"/>
  <c r="AG92" i="65"/>
  <c r="AF92" i="65"/>
  <c r="AE92" i="65"/>
  <c r="AD92" i="65"/>
  <c r="AC92" i="65"/>
  <c r="AB92" i="65"/>
  <c r="AA92" i="65"/>
  <c r="Z92" i="65"/>
  <c r="U92" i="65"/>
  <c r="W92" i="65"/>
  <c r="AO91" i="65"/>
  <c r="AN91" i="65"/>
  <c r="AM91" i="65"/>
  <c r="AL91" i="65"/>
  <c r="AK91" i="65"/>
  <c r="AJ91" i="65"/>
  <c r="AI91" i="65"/>
  <c r="AH91" i="65"/>
  <c r="AG91" i="65"/>
  <c r="AF91" i="65"/>
  <c r="AE91" i="65"/>
  <c r="AD91" i="65"/>
  <c r="AC91" i="65"/>
  <c r="AB91" i="65"/>
  <c r="AA91" i="65"/>
  <c r="Z91" i="65"/>
  <c r="U91" i="65"/>
  <c r="W91" i="65"/>
  <c r="AO90" i="65"/>
  <c r="AN90" i="65"/>
  <c r="AM90" i="65"/>
  <c r="AL90" i="65"/>
  <c r="AK90" i="65"/>
  <c r="AJ90" i="65"/>
  <c r="AI90" i="65"/>
  <c r="AH90" i="65"/>
  <c r="AG90" i="65"/>
  <c r="AF90" i="65"/>
  <c r="AE90" i="65"/>
  <c r="AD90" i="65"/>
  <c r="AC90" i="65"/>
  <c r="AB90" i="65"/>
  <c r="AA90" i="65"/>
  <c r="Z90" i="65"/>
  <c r="U90" i="65"/>
  <c r="W90" i="65"/>
  <c r="AO89" i="65"/>
  <c r="AN89" i="65"/>
  <c r="AM89" i="65"/>
  <c r="AL89" i="65"/>
  <c r="AK89" i="65"/>
  <c r="AJ89" i="65"/>
  <c r="AI89" i="65"/>
  <c r="AH89" i="65"/>
  <c r="AG89" i="65"/>
  <c r="AF89" i="65"/>
  <c r="AE89" i="65"/>
  <c r="AD89" i="65"/>
  <c r="AC89" i="65"/>
  <c r="AB89" i="65"/>
  <c r="Z89" i="65"/>
  <c r="AO88" i="65"/>
  <c r="AN88" i="65"/>
  <c r="AM88" i="65"/>
  <c r="AL88" i="65"/>
  <c r="AK88" i="65"/>
  <c r="AJ88" i="65"/>
  <c r="AI88" i="65"/>
  <c r="AH88" i="65"/>
  <c r="AG88" i="65"/>
  <c r="AF88" i="65"/>
  <c r="AE88" i="65"/>
  <c r="AD88" i="65"/>
  <c r="AC88" i="65"/>
  <c r="AB88" i="65"/>
  <c r="AA88" i="65"/>
  <c r="Z88" i="65"/>
  <c r="U88" i="65"/>
  <c r="W88" i="65"/>
  <c r="AO87" i="65"/>
  <c r="AN87" i="65"/>
  <c r="AM87" i="65"/>
  <c r="AL87" i="65"/>
  <c r="AK87" i="65"/>
  <c r="AJ87" i="65"/>
  <c r="AI87" i="65"/>
  <c r="AH87" i="65"/>
  <c r="AG87" i="65"/>
  <c r="AF87" i="65"/>
  <c r="AE87" i="65"/>
  <c r="AD87" i="65"/>
  <c r="AC87" i="65"/>
  <c r="AB87" i="65"/>
  <c r="AA87" i="65"/>
  <c r="Z87" i="65"/>
  <c r="U87" i="65"/>
  <c r="W87" i="65"/>
  <c r="AO86" i="65"/>
  <c r="AN86" i="65"/>
  <c r="AM86" i="65"/>
  <c r="AL86" i="65"/>
  <c r="AK86" i="65"/>
  <c r="AJ86" i="65"/>
  <c r="AI86" i="65"/>
  <c r="AH86" i="65"/>
  <c r="AG86" i="65"/>
  <c r="AF86" i="65"/>
  <c r="AE86" i="65"/>
  <c r="AD86" i="65"/>
  <c r="AC86" i="65"/>
  <c r="AB86" i="65"/>
  <c r="Z86" i="65"/>
  <c r="AO85" i="65"/>
  <c r="AN85" i="65"/>
  <c r="AM85" i="65"/>
  <c r="AL85" i="65"/>
  <c r="AK85" i="65"/>
  <c r="AJ85" i="65"/>
  <c r="AI85" i="65"/>
  <c r="AH85" i="65"/>
  <c r="AG85" i="65"/>
  <c r="AF85" i="65"/>
  <c r="AE85" i="65"/>
  <c r="AD85" i="65"/>
  <c r="AC85" i="65"/>
  <c r="AB85" i="65"/>
  <c r="AA85" i="65"/>
  <c r="Z85" i="65"/>
  <c r="U85" i="65"/>
  <c r="W85" i="65"/>
  <c r="AO84" i="65"/>
  <c r="AN84" i="65"/>
  <c r="AM84" i="65"/>
  <c r="AL84" i="65"/>
  <c r="AK84" i="65"/>
  <c r="AJ84" i="65"/>
  <c r="AI84" i="65"/>
  <c r="AH84" i="65"/>
  <c r="AG84" i="65"/>
  <c r="AF84" i="65"/>
  <c r="AE84" i="65"/>
  <c r="AD84" i="65"/>
  <c r="AB84" i="65"/>
  <c r="AA84" i="65"/>
  <c r="Z84" i="65"/>
  <c r="AO83" i="65"/>
  <c r="AN83" i="65"/>
  <c r="AM83" i="65"/>
  <c r="AL83" i="65"/>
  <c r="AK83" i="65"/>
  <c r="AJ83" i="65"/>
  <c r="AI83" i="65"/>
  <c r="AH83" i="65"/>
  <c r="AG83" i="65"/>
  <c r="AF83" i="65"/>
  <c r="AE83" i="65"/>
  <c r="AD83" i="65"/>
  <c r="AB83" i="65"/>
  <c r="AA83" i="65"/>
  <c r="Z83" i="65"/>
  <c r="AO82" i="65"/>
  <c r="AN82" i="65"/>
  <c r="AM82" i="65"/>
  <c r="AL82" i="65"/>
  <c r="AK82" i="65"/>
  <c r="AJ82" i="65"/>
  <c r="AI82" i="65"/>
  <c r="AH82" i="65"/>
  <c r="AG82" i="65"/>
  <c r="AF82" i="65"/>
  <c r="AE82" i="65"/>
  <c r="AD82" i="65"/>
  <c r="AC82" i="65"/>
  <c r="AB82" i="65"/>
  <c r="AA82" i="65"/>
  <c r="Z82" i="65"/>
  <c r="U82" i="65"/>
  <c r="W82" i="65"/>
  <c r="AO81" i="65"/>
  <c r="AN81" i="65"/>
  <c r="AM81" i="65"/>
  <c r="AL81" i="65"/>
  <c r="AK81" i="65"/>
  <c r="AJ81" i="65"/>
  <c r="AI81" i="65"/>
  <c r="AH81" i="65"/>
  <c r="AG81" i="65"/>
  <c r="AF81" i="65"/>
  <c r="AE81" i="65"/>
  <c r="AD81" i="65"/>
  <c r="AB81" i="65"/>
  <c r="AA81" i="65"/>
  <c r="Z81" i="65"/>
  <c r="AO80" i="65"/>
  <c r="AN80" i="65"/>
  <c r="AM80" i="65"/>
  <c r="AL80" i="65"/>
  <c r="AK80" i="65"/>
  <c r="AJ80" i="65"/>
  <c r="AI80" i="65"/>
  <c r="AH80" i="65"/>
  <c r="AG80" i="65"/>
  <c r="AF80" i="65"/>
  <c r="AE80" i="65"/>
  <c r="AC80" i="65"/>
  <c r="AB80" i="65"/>
  <c r="AA80" i="65"/>
  <c r="Z80" i="65"/>
  <c r="AO79" i="65"/>
  <c r="AN79" i="65"/>
  <c r="AM79" i="65"/>
  <c r="AL79" i="65"/>
  <c r="AK79" i="65"/>
  <c r="AJ79" i="65"/>
  <c r="AI79" i="65"/>
  <c r="AH79" i="65"/>
  <c r="AG79" i="65"/>
  <c r="AF79" i="65"/>
  <c r="AE79" i="65"/>
  <c r="AD79" i="65"/>
  <c r="AC79" i="65"/>
  <c r="AB79" i="65"/>
  <c r="AA79" i="65"/>
  <c r="Z79" i="65"/>
  <c r="U79" i="65"/>
  <c r="W79" i="65"/>
  <c r="AO78" i="65"/>
  <c r="AN78" i="65"/>
  <c r="AM78" i="65"/>
  <c r="AL78" i="65"/>
  <c r="AK78" i="65"/>
  <c r="AJ78" i="65"/>
  <c r="AI78" i="65"/>
  <c r="AH78" i="65"/>
  <c r="AG78" i="65"/>
  <c r="AF78" i="65"/>
  <c r="AE78" i="65"/>
  <c r="AD78" i="65"/>
  <c r="AC78" i="65"/>
  <c r="AB78" i="65"/>
  <c r="AA78" i="65"/>
  <c r="Z78" i="65"/>
  <c r="U78" i="65"/>
  <c r="W78" i="65"/>
  <c r="AO77" i="65"/>
  <c r="AN77" i="65"/>
  <c r="AM77" i="65"/>
  <c r="AL77" i="65"/>
  <c r="AK77" i="65"/>
  <c r="AJ77" i="65"/>
  <c r="AI77" i="65"/>
  <c r="AH77" i="65"/>
  <c r="AG77" i="65"/>
  <c r="AF77" i="65"/>
  <c r="AE77" i="65"/>
  <c r="AD77" i="65"/>
  <c r="AC77" i="65"/>
  <c r="AB77" i="65"/>
  <c r="AA77" i="65"/>
  <c r="Z77" i="65"/>
  <c r="U77" i="65"/>
  <c r="W77" i="65"/>
  <c r="AO76" i="65"/>
  <c r="AN76" i="65"/>
  <c r="AM76" i="65"/>
  <c r="AL76" i="65"/>
  <c r="AK76" i="65"/>
  <c r="AJ76" i="65"/>
  <c r="AI76" i="65"/>
  <c r="AH76" i="65"/>
  <c r="AG76" i="65"/>
  <c r="AF76" i="65"/>
  <c r="AE76" i="65"/>
  <c r="AD76" i="65"/>
  <c r="AB76" i="65"/>
  <c r="AA76" i="65"/>
  <c r="E76" i="65"/>
  <c r="Z76" i="65"/>
  <c r="AO75" i="65"/>
  <c r="AN75" i="65"/>
  <c r="AM75" i="65"/>
  <c r="AL75" i="65"/>
  <c r="AK75" i="65"/>
  <c r="AJ75" i="65"/>
  <c r="AI75" i="65"/>
  <c r="AH75" i="65"/>
  <c r="AG75" i="65"/>
  <c r="AF75" i="65"/>
  <c r="AE75" i="65"/>
  <c r="AD75" i="65"/>
  <c r="AC75" i="65"/>
  <c r="AB75" i="65"/>
  <c r="AA75" i="65"/>
  <c r="Z75" i="65"/>
  <c r="U75" i="65"/>
  <c r="W75" i="65"/>
  <c r="AO74" i="65"/>
  <c r="AN74" i="65"/>
  <c r="AM74" i="65"/>
  <c r="AL74" i="65"/>
  <c r="AK74" i="65"/>
  <c r="AJ74" i="65"/>
  <c r="AI74" i="65"/>
  <c r="AH74" i="65"/>
  <c r="AG74" i="65"/>
  <c r="AF74" i="65"/>
  <c r="AC74" i="65"/>
  <c r="AA74" i="65"/>
  <c r="Z74" i="65"/>
  <c r="I74" i="65"/>
  <c r="AD74" i="65"/>
  <c r="AO73" i="65"/>
  <c r="AN73" i="65"/>
  <c r="AM73" i="65"/>
  <c r="AL73" i="65"/>
  <c r="AK73" i="65"/>
  <c r="AJ73" i="65"/>
  <c r="AI73" i="65"/>
  <c r="AH73" i="65"/>
  <c r="AG73" i="65"/>
  <c r="AF73" i="65"/>
  <c r="AE73" i="65"/>
  <c r="AD73" i="65"/>
  <c r="AC73" i="65"/>
  <c r="AB73" i="65"/>
  <c r="AA73" i="65"/>
  <c r="Z73" i="65"/>
  <c r="U73" i="65"/>
  <c r="W73" i="65"/>
  <c r="AO72" i="65"/>
  <c r="AN72" i="65"/>
  <c r="AM72" i="65"/>
  <c r="AL72" i="65"/>
  <c r="AK72" i="65"/>
  <c r="AJ72" i="65"/>
  <c r="AI72" i="65"/>
  <c r="AH72" i="65"/>
  <c r="AG72" i="65"/>
  <c r="AF72" i="65"/>
  <c r="AE72" i="65"/>
  <c r="AD72" i="65"/>
  <c r="AC72" i="65"/>
  <c r="AB72" i="65"/>
  <c r="AA72" i="65"/>
  <c r="Z72" i="65"/>
  <c r="U72" i="65"/>
  <c r="W72" i="65"/>
  <c r="AO71" i="65"/>
  <c r="AN71" i="65"/>
  <c r="AM71" i="65"/>
  <c r="AL71" i="65"/>
  <c r="AK71" i="65"/>
  <c r="AJ71" i="65"/>
  <c r="AI71" i="65"/>
  <c r="AG71" i="65"/>
  <c r="AF71" i="65"/>
  <c r="AA71" i="65"/>
  <c r="Z71" i="65"/>
  <c r="AO70" i="65"/>
  <c r="AN70" i="65"/>
  <c r="AM70" i="65"/>
  <c r="AL70" i="65"/>
  <c r="AK70" i="65"/>
  <c r="AJ70" i="65"/>
  <c r="AI70" i="65"/>
  <c r="AH70" i="65"/>
  <c r="AG70" i="65"/>
  <c r="AF70" i="65"/>
  <c r="AE70" i="65"/>
  <c r="AD70" i="65"/>
  <c r="AC70" i="65"/>
  <c r="AB70" i="65"/>
  <c r="AA70" i="65"/>
  <c r="Z70" i="65"/>
  <c r="U70" i="65"/>
  <c r="W70" i="65"/>
  <c r="AO69" i="65"/>
  <c r="AN69" i="65"/>
  <c r="AM69" i="65"/>
  <c r="AL69" i="65"/>
  <c r="AK69" i="65"/>
  <c r="AJ69" i="65"/>
  <c r="AI69" i="65"/>
  <c r="AH69" i="65"/>
  <c r="AG69" i="65"/>
  <c r="AF69" i="65"/>
  <c r="AE69" i="65"/>
  <c r="AD69" i="65"/>
  <c r="AC69" i="65"/>
  <c r="AB69" i="65"/>
  <c r="AA69" i="65"/>
  <c r="Z69" i="65"/>
  <c r="U69" i="65"/>
  <c r="W69" i="65"/>
  <c r="AO68" i="65"/>
  <c r="AN68" i="65"/>
  <c r="AM68" i="65"/>
  <c r="AL68" i="65"/>
  <c r="AK68" i="65"/>
  <c r="AJ68" i="65"/>
  <c r="AI68" i="65"/>
  <c r="AH68" i="65"/>
  <c r="AG68" i="65"/>
  <c r="AF68" i="65"/>
  <c r="AE68" i="65"/>
  <c r="AD68" i="65"/>
  <c r="AC68" i="65"/>
  <c r="AB68" i="65"/>
  <c r="AA68" i="65"/>
  <c r="Z68" i="65"/>
  <c r="U68" i="65"/>
  <c r="W68" i="65"/>
  <c r="AO67" i="65"/>
  <c r="AN67" i="65"/>
  <c r="AM67" i="65"/>
  <c r="AL67" i="65"/>
  <c r="AK67" i="65"/>
  <c r="AJ67" i="65"/>
  <c r="AI67" i="65"/>
  <c r="AH67" i="65"/>
  <c r="AG67" i="65"/>
  <c r="AF67" i="65"/>
  <c r="AE67" i="65"/>
  <c r="AD67" i="65"/>
  <c r="AC67" i="65"/>
  <c r="AB67" i="65"/>
  <c r="AA67" i="65"/>
  <c r="Z67" i="65"/>
  <c r="U67" i="65"/>
  <c r="W67" i="65"/>
  <c r="AO66" i="65"/>
  <c r="AN66" i="65"/>
  <c r="AM66" i="65"/>
  <c r="AL66" i="65"/>
  <c r="AK66" i="65"/>
  <c r="AI66" i="65"/>
  <c r="AG66" i="65"/>
  <c r="AF66" i="65"/>
  <c r="AA66" i="65"/>
  <c r="Z66" i="65"/>
  <c r="I66" i="65"/>
  <c r="AD66" i="65"/>
  <c r="AO65" i="65"/>
  <c r="AN65" i="65"/>
  <c r="AM65" i="65"/>
  <c r="AL65" i="65"/>
  <c r="AK65" i="65"/>
  <c r="AJ65" i="65"/>
  <c r="AI65" i="65"/>
  <c r="AH65" i="65"/>
  <c r="AG65" i="65"/>
  <c r="AF65" i="65"/>
  <c r="AE65" i="65"/>
  <c r="AD65" i="65"/>
  <c r="AC65" i="65"/>
  <c r="AB65" i="65"/>
  <c r="AA65" i="65"/>
  <c r="Z65" i="65"/>
  <c r="U65" i="65"/>
  <c r="W65" i="65"/>
  <c r="AO64" i="65"/>
  <c r="AN64" i="65"/>
  <c r="AM64" i="65"/>
  <c r="AL64" i="65"/>
  <c r="AK64" i="65"/>
  <c r="AJ64" i="65"/>
  <c r="AI64" i="65"/>
  <c r="AH64" i="65"/>
  <c r="AG64" i="65"/>
  <c r="AF64" i="65"/>
  <c r="AE64" i="65"/>
  <c r="AD64" i="65"/>
  <c r="AC64" i="65"/>
  <c r="AB64" i="65"/>
  <c r="AA64" i="65"/>
  <c r="Z64" i="65"/>
  <c r="U64" i="65"/>
  <c r="W64" i="65"/>
  <c r="AN63" i="65"/>
  <c r="Z63" i="65"/>
  <c r="AO62" i="65"/>
  <c r="AN62" i="65"/>
  <c r="AM62" i="65"/>
  <c r="AL62" i="65"/>
  <c r="AK62" i="65"/>
  <c r="AJ62" i="65"/>
  <c r="AI62" i="65"/>
  <c r="AH62" i="65"/>
  <c r="AG62" i="65"/>
  <c r="AF62" i="65"/>
  <c r="AE62" i="65"/>
  <c r="AD62" i="65"/>
  <c r="AC62" i="65"/>
  <c r="AB62" i="65"/>
  <c r="AA62" i="65"/>
  <c r="Z62" i="65"/>
  <c r="U62" i="65"/>
  <c r="W62" i="65"/>
  <c r="AO61" i="65"/>
  <c r="AN61" i="65"/>
  <c r="AM61" i="65"/>
  <c r="AL61" i="65"/>
  <c r="AK61" i="65"/>
  <c r="AJ61" i="65"/>
  <c r="AI61" i="65"/>
  <c r="AH61" i="65"/>
  <c r="AG61" i="65"/>
  <c r="AF61" i="65"/>
  <c r="AE61" i="65"/>
  <c r="AD61" i="65"/>
  <c r="AC61" i="65"/>
  <c r="AB61" i="65"/>
  <c r="AA61" i="65"/>
  <c r="Z61" i="65"/>
  <c r="U61" i="65"/>
  <c r="W61" i="65"/>
  <c r="AO60" i="65"/>
  <c r="AN60" i="65"/>
  <c r="AM60" i="65"/>
  <c r="AL60" i="65"/>
  <c r="AK60" i="65"/>
  <c r="AJ60" i="65"/>
  <c r="AI60" i="65"/>
  <c r="AH60" i="65"/>
  <c r="AG60" i="65"/>
  <c r="AF60" i="65"/>
  <c r="AE60" i="65"/>
  <c r="AD60" i="65"/>
  <c r="AC60" i="65"/>
  <c r="AB60" i="65"/>
  <c r="AA60" i="65"/>
  <c r="Z60" i="65"/>
  <c r="U60" i="65"/>
  <c r="W60" i="65"/>
  <c r="AO59" i="65"/>
  <c r="AN59" i="65"/>
  <c r="AM59" i="65"/>
  <c r="AL59" i="65"/>
  <c r="AK59" i="65"/>
  <c r="AJ59" i="65"/>
  <c r="AI59" i="65"/>
  <c r="AH59" i="65"/>
  <c r="AG59" i="65"/>
  <c r="AF59" i="65"/>
  <c r="AE59" i="65"/>
  <c r="AB59" i="65"/>
  <c r="AA59" i="65"/>
  <c r="E59" i="65"/>
  <c r="Z59" i="65"/>
  <c r="AO58" i="65"/>
  <c r="AN58" i="65"/>
  <c r="AM58" i="65"/>
  <c r="AL58" i="65"/>
  <c r="AK58" i="65"/>
  <c r="AJ58" i="65"/>
  <c r="AI58" i="65"/>
  <c r="AH58" i="65"/>
  <c r="AG58" i="65"/>
  <c r="AF58" i="65"/>
  <c r="AE58" i="65"/>
  <c r="AD58" i="65"/>
  <c r="AC58" i="65"/>
  <c r="AB58" i="65"/>
  <c r="AA58" i="65"/>
  <c r="Z58" i="65"/>
  <c r="U58" i="65"/>
  <c r="W58" i="65"/>
  <c r="AO57" i="65"/>
  <c r="AN57" i="65"/>
  <c r="AM57" i="65"/>
  <c r="AL57" i="65"/>
  <c r="AK57" i="65"/>
  <c r="AJ57" i="65"/>
  <c r="AI57" i="65"/>
  <c r="AH57" i="65"/>
  <c r="AG57" i="65"/>
  <c r="AF57" i="65"/>
  <c r="AE57" i="65"/>
  <c r="AD57" i="65"/>
  <c r="AC57" i="65"/>
  <c r="AB57" i="65"/>
  <c r="AA57" i="65"/>
  <c r="Z57" i="65"/>
  <c r="U57" i="65"/>
  <c r="W57" i="65"/>
  <c r="AL56" i="65"/>
  <c r="Z56" i="65"/>
  <c r="S56" i="65"/>
  <c r="AN56" i="65"/>
  <c r="AO55" i="65"/>
  <c r="AN55" i="65"/>
  <c r="AM55" i="65"/>
  <c r="AL55" i="65"/>
  <c r="AK55" i="65"/>
  <c r="AJ55" i="65"/>
  <c r="AI55" i="65"/>
  <c r="AH55" i="65"/>
  <c r="AG55" i="65"/>
  <c r="AF55" i="65"/>
  <c r="AE55" i="65"/>
  <c r="AD55" i="65"/>
  <c r="AC55" i="65"/>
  <c r="AB55" i="65"/>
  <c r="AA55" i="65"/>
  <c r="Z55" i="65"/>
  <c r="U55" i="65"/>
  <c r="W55" i="65"/>
  <c r="AO54" i="65"/>
  <c r="AN54" i="65"/>
  <c r="AM54" i="65"/>
  <c r="AL54" i="65"/>
  <c r="AK54" i="65"/>
  <c r="AJ54" i="65"/>
  <c r="AI54" i="65"/>
  <c r="AH54" i="65"/>
  <c r="AG54" i="65"/>
  <c r="AF54" i="65"/>
  <c r="AE54" i="65"/>
  <c r="AD54" i="65"/>
  <c r="AC54" i="65"/>
  <c r="AB54" i="65"/>
  <c r="AA54" i="65"/>
  <c r="Z54" i="65"/>
  <c r="U54" i="65"/>
  <c r="W54" i="65"/>
  <c r="AO53" i="65"/>
  <c r="AN53" i="65"/>
  <c r="AM53" i="65"/>
  <c r="AL53" i="65"/>
  <c r="AK53" i="65"/>
  <c r="AJ53" i="65"/>
  <c r="AI53" i="65"/>
  <c r="AH53" i="65"/>
  <c r="AG53" i="65"/>
  <c r="AF53" i="65"/>
  <c r="AE53" i="65"/>
  <c r="AD53" i="65"/>
  <c r="AC53" i="65"/>
  <c r="AB53" i="65"/>
  <c r="AA53" i="65"/>
  <c r="Z53" i="65"/>
  <c r="U53" i="65"/>
  <c r="W53" i="65"/>
  <c r="AO52" i="65"/>
  <c r="AM52" i="65"/>
  <c r="AL52" i="65"/>
  <c r="AK52" i="65"/>
  <c r="AJ52" i="65"/>
  <c r="AI52" i="65"/>
  <c r="AH52" i="65"/>
  <c r="AG52" i="65"/>
  <c r="AF52" i="65"/>
  <c r="AE52" i="65"/>
  <c r="AD52" i="65"/>
  <c r="AC52" i="65"/>
  <c r="AB52" i="65"/>
  <c r="AA52" i="65"/>
  <c r="Z52" i="65"/>
  <c r="S52" i="65"/>
  <c r="AN52" i="65"/>
  <c r="AO51" i="65"/>
  <c r="AN51" i="65"/>
  <c r="AM51" i="65"/>
  <c r="AL51" i="65"/>
  <c r="AK51" i="65"/>
  <c r="AJ51" i="65"/>
  <c r="AI51" i="65"/>
  <c r="AH51" i="65"/>
  <c r="AG51" i="65"/>
  <c r="AF51" i="65"/>
  <c r="AE51" i="65"/>
  <c r="AD51" i="65"/>
  <c r="AC51" i="65"/>
  <c r="AB51" i="65"/>
  <c r="AA51" i="65"/>
  <c r="Z51" i="65"/>
  <c r="U51" i="65"/>
  <c r="W51" i="65"/>
  <c r="AO50" i="65"/>
  <c r="AN50" i="65"/>
  <c r="AM50" i="65"/>
  <c r="AL50" i="65"/>
  <c r="AK50" i="65"/>
  <c r="AJ50" i="65"/>
  <c r="AI50" i="65"/>
  <c r="AH50" i="65"/>
  <c r="AG50" i="65"/>
  <c r="AF50" i="65"/>
  <c r="AE50" i="65"/>
  <c r="AD50" i="65"/>
  <c r="AC50" i="65"/>
  <c r="AB50" i="65"/>
  <c r="AA50" i="65"/>
  <c r="Z50" i="65"/>
  <c r="U50" i="65"/>
  <c r="W50" i="65"/>
  <c r="AO49" i="65"/>
  <c r="AN49" i="65"/>
  <c r="AM49" i="65"/>
  <c r="AL49" i="65"/>
  <c r="AK49" i="65"/>
  <c r="AJ49" i="65"/>
  <c r="AI49" i="65"/>
  <c r="AH49" i="65"/>
  <c r="AG49" i="65"/>
  <c r="AF49" i="65"/>
  <c r="AE49" i="65"/>
  <c r="AD49" i="65"/>
  <c r="AC49" i="65"/>
  <c r="AB49" i="65"/>
  <c r="AA49" i="65"/>
  <c r="Z49" i="65"/>
  <c r="U49" i="65"/>
  <c r="W49" i="65"/>
  <c r="AO48" i="65"/>
  <c r="AN48" i="65"/>
  <c r="AM48" i="65"/>
  <c r="AL48" i="65"/>
  <c r="AK48" i="65"/>
  <c r="AJ48" i="65"/>
  <c r="AI48" i="65"/>
  <c r="AH48" i="65"/>
  <c r="AG48" i="65"/>
  <c r="AF48" i="65"/>
  <c r="AE48" i="65"/>
  <c r="AD48" i="65"/>
  <c r="AC48" i="65"/>
  <c r="AB48" i="65"/>
  <c r="AA48" i="65"/>
  <c r="Z48" i="65"/>
  <c r="U48" i="65"/>
  <c r="W48" i="65"/>
  <c r="AO47" i="65"/>
  <c r="AN47" i="65"/>
  <c r="AM47" i="65"/>
  <c r="AL47" i="65"/>
  <c r="AK47" i="65"/>
  <c r="AJ47" i="65"/>
  <c r="AI47" i="65"/>
  <c r="AH47" i="65"/>
  <c r="AG47" i="65"/>
  <c r="AF47" i="65"/>
  <c r="AE47" i="65"/>
  <c r="AB47" i="65"/>
  <c r="AA47" i="65"/>
  <c r="Z47" i="65"/>
  <c r="AO46" i="65"/>
  <c r="AN46" i="65"/>
  <c r="AM46" i="65"/>
  <c r="AL46" i="65"/>
  <c r="AK46" i="65"/>
  <c r="AJ46" i="65"/>
  <c r="AI46" i="65"/>
  <c r="AH46" i="65"/>
  <c r="AG46" i="65"/>
  <c r="AF46" i="65"/>
  <c r="AE46" i="65"/>
  <c r="AB46" i="65"/>
  <c r="AA46" i="65"/>
  <c r="Z46" i="65"/>
  <c r="I46" i="65"/>
  <c r="AD46" i="65"/>
  <c r="AO45" i="65"/>
  <c r="AN45" i="65"/>
  <c r="AM45" i="65"/>
  <c r="AL45" i="65"/>
  <c r="AK45" i="65"/>
  <c r="AJ45" i="65"/>
  <c r="AI45" i="65"/>
  <c r="AH45" i="65"/>
  <c r="AG45" i="65"/>
  <c r="AF45" i="65"/>
  <c r="AE45" i="65"/>
  <c r="AC45" i="65"/>
  <c r="AB45" i="65"/>
  <c r="AA45" i="65"/>
  <c r="Z45" i="65"/>
  <c r="AO44" i="65"/>
  <c r="AN44" i="65"/>
  <c r="AM44" i="65"/>
  <c r="AK44" i="65"/>
  <c r="AJ44" i="65"/>
  <c r="AI44" i="65"/>
  <c r="AH44" i="65"/>
  <c r="AG44" i="65"/>
  <c r="AF44" i="65"/>
  <c r="AE44" i="65"/>
  <c r="AB44" i="65"/>
  <c r="Z44" i="65"/>
  <c r="Z43" i="65"/>
  <c r="AO42" i="65"/>
  <c r="AN42" i="65"/>
  <c r="AM42" i="65"/>
  <c r="AL42" i="65"/>
  <c r="AK42" i="65"/>
  <c r="AJ42" i="65"/>
  <c r="AI42" i="65"/>
  <c r="AH42" i="65"/>
  <c r="AG42" i="65"/>
  <c r="AF42" i="65"/>
  <c r="AE42" i="65"/>
  <c r="AD42" i="65"/>
  <c r="AC42" i="65"/>
  <c r="AB42" i="65"/>
  <c r="AA42" i="65"/>
  <c r="Z42" i="65"/>
  <c r="U42" i="65"/>
  <c r="W42" i="65"/>
  <c r="AO41" i="65"/>
  <c r="AN41" i="65"/>
  <c r="AM41" i="65"/>
  <c r="AL41" i="65"/>
  <c r="AK41" i="65"/>
  <c r="AJ41" i="65"/>
  <c r="AI41" i="65"/>
  <c r="AH41" i="65"/>
  <c r="AG41" i="65"/>
  <c r="AF41" i="65"/>
  <c r="AE41" i="65"/>
  <c r="AD41" i="65"/>
  <c r="AC41" i="65"/>
  <c r="AB41" i="65"/>
  <c r="AA41" i="65"/>
  <c r="Z41" i="65"/>
  <c r="U41" i="65"/>
  <c r="W41" i="65"/>
  <c r="AO40" i="65"/>
  <c r="AN40" i="65"/>
  <c r="AM40" i="65"/>
  <c r="AL40" i="65"/>
  <c r="AK40" i="65"/>
  <c r="AI40" i="65"/>
  <c r="AH40" i="65"/>
  <c r="AF40" i="65"/>
  <c r="AD40" i="65"/>
  <c r="AC40" i="65"/>
  <c r="AB40" i="65"/>
  <c r="AA40" i="65"/>
  <c r="Z40" i="65"/>
  <c r="J40" i="65"/>
  <c r="AO39" i="65"/>
  <c r="AN39" i="65"/>
  <c r="AM39" i="65"/>
  <c r="AL39" i="65"/>
  <c r="AK39" i="65"/>
  <c r="AJ39" i="65"/>
  <c r="AI39" i="65"/>
  <c r="AH39" i="65"/>
  <c r="AG39" i="65"/>
  <c r="AF39" i="65"/>
  <c r="AE39" i="65"/>
  <c r="AD39" i="65"/>
  <c r="AC39" i="65"/>
  <c r="AB39" i="65"/>
  <c r="AA39" i="65"/>
  <c r="Z39" i="65"/>
  <c r="U39" i="65"/>
  <c r="W39" i="65"/>
  <c r="AO38" i="65"/>
  <c r="AN38" i="65"/>
  <c r="AM38" i="65"/>
  <c r="AK38" i="65"/>
  <c r="AJ38" i="65"/>
  <c r="AI38" i="65"/>
  <c r="AH38" i="65"/>
  <c r="AG38" i="65"/>
  <c r="AF38" i="65"/>
  <c r="AD38" i="65"/>
  <c r="AB38" i="65"/>
  <c r="AA38" i="65"/>
  <c r="Q38" i="65"/>
  <c r="AL38" i="65"/>
  <c r="J38" i="65"/>
  <c r="AE38" i="65"/>
  <c r="H38" i="65"/>
  <c r="AC38" i="65"/>
  <c r="E38" i="65"/>
  <c r="Z38" i="65"/>
  <c r="AO37" i="65"/>
  <c r="AN37" i="65"/>
  <c r="AM37" i="65"/>
  <c r="AL37" i="65"/>
  <c r="AK37" i="65"/>
  <c r="AJ37" i="65"/>
  <c r="AI37" i="65"/>
  <c r="AH37" i="65"/>
  <c r="AG37" i="65"/>
  <c r="AF37" i="65"/>
  <c r="AE37" i="65"/>
  <c r="AD37" i="65"/>
  <c r="AC37" i="65"/>
  <c r="AB37" i="65"/>
  <c r="AA37" i="65"/>
  <c r="Z37" i="65"/>
  <c r="U37" i="65"/>
  <c r="W37" i="65"/>
  <c r="L36" i="65"/>
  <c r="AG36" i="65"/>
  <c r="AO35" i="65"/>
  <c r="AN35" i="65"/>
  <c r="AM35" i="65"/>
  <c r="AL35" i="65"/>
  <c r="AK35" i="65"/>
  <c r="AJ35" i="65"/>
  <c r="AI35" i="65"/>
  <c r="AH35" i="65"/>
  <c r="AG35" i="65"/>
  <c r="AF35" i="65"/>
  <c r="AE35" i="65"/>
  <c r="AD35" i="65"/>
  <c r="AC35" i="65"/>
  <c r="AB35" i="65"/>
  <c r="AA35" i="65"/>
  <c r="Z35" i="65"/>
  <c r="U35" i="65"/>
  <c r="W35" i="65"/>
  <c r="AO34" i="65"/>
  <c r="AN34" i="65"/>
  <c r="AM34" i="65"/>
  <c r="AL34" i="65"/>
  <c r="AK34" i="65"/>
  <c r="AJ34" i="65"/>
  <c r="AI34" i="65"/>
  <c r="AH34" i="65"/>
  <c r="AG34" i="65"/>
  <c r="AF34" i="65"/>
  <c r="AE34" i="65"/>
  <c r="AD34" i="65"/>
  <c r="AC34" i="65"/>
  <c r="AB34" i="65"/>
  <c r="AA34" i="65"/>
  <c r="Z34" i="65"/>
  <c r="U34" i="65"/>
  <c r="W34" i="65"/>
  <c r="AO33" i="65"/>
  <c r="AN33" i="65"/>
  <c r="AM33" i="65"/>
  <c r="AL33" i="65"/>
  <c r="AK33" i="65"/>
  <c r="AI33" i="65"/>
  <c r="AH33" i="65"/>
  <c r="AF33" i="65"/>
  <c r="AE33" i="65"/>
  <c r="AD33" i="65"/>
  <c r="AB33" i="65"/>
  <c r="AA33" i="65"/>
  <c r="Z33" i="65"/>
  <c r="O33" i="65"/>
  <c r="AJ33" i="65"/>
  <c r="AO32" i="65"/>
  <c r="AN32" i="65"/>
  <c r="AM32" i="65"/>
  <c r="AL32" i="65"/>
  <c r="AK32" i="65"/>
  <c r="AJ32" i="65"/>
  <c r="AI32" i="65"/>
  <c r="AH32" i="65"/>
  <c r="AG32" i="65"/>
  <c r="AF32" i="65"/>
  <c r="AE32" i="65"/>
  <c r="AD32" i="65"/>
  <c r="AC32" i="65"/>
  <c r="AB32" i="65"/>
  <c r="AA32" i="65"/>
  <c r="Z32" i="65"/>
  <c r="U32" i="65"/>
  <c r="W32" i="65"/>
  <c r="AO31" i="65"/>
  <c r="AN31" i="65"/>
  <c r="AM31" i="65"/>
  <c r="AL31" i="65"/>
  <c r="AK31" i="65"/>
  <c r="AJ31" i="65"/>
  <c r="AI31" i="65"/>
  <c r="AH31" i="65"/>
  <c r="AG31" i="65"/>
  <c r="AF31" i="65"/>
  <c r="AE31" i="65"/>
  <c r="AD31" i="65"/>
  <c r="AC31" i="65"/>
  <c r="AB31" i="65"/>
  <c r="AA31" i="65"/>
  <c r="Z31" i="65"/>
  <c r="U31" i="65"/>
  <c r="W31" i="65"/>
  <c r="AO30" i="65"/>
  <c r="AN30" i="65"/>
  <c r="AM30" i="65"/>
  <c r="AL30" i="65"/>
  <c r="AK30" i="65"/>
  <c r="AJ30" i="65"/>
  <c r="AI30" i="65"/>
  <c r="AH30" i="65"/>
  <c r="AG30" i="65"/>
  <c r="AF30" i="65"/>
  <c r="AE30" i="65"/>
  <c r="AD30" i="65"/>
  <c r="AC30" i="65"/>
  <c r="AB30" i="65"/>
  <c r="AA30" i="65"/>
  <c r="Z30" i="65"/>
  <c r="U30" i="65"/>
  <c r="W30" i="65"/>
  <c r="AO29" i="65"/>
  <c r="AN29" i="65"/>
  <c r="AM29" i="65"/>
  <c r="AL29" i="65"/>
  <c r="AK29" i="65"/>
  <c r="AI29" i="65"/>
  <c r="AH29" i="65"/>
  <c r="AG29" i="65"/>
  <c r="AF29" i="65"/>
  <c r="AE29" i="65"/>
  <c r="AD29" i="65"/>
  <c r="AC29" i="65"/>
  <c r="AB29" i="65"/>
  <c r="AA29" i="65"/>
  <c r="Z29" i="65"/>
  <c r="AJ29" i="65"/>
  <c r="AN28" i="65"/>
  <c r="AM28" i="65"/>
  <c r="AJ28" i="65"/>
  <c r="AI28" i="65"/>
  <c r="AF28" i="65"/>
  <c r="AB28" i="65"/>
  <c r="Z28" i="65"/>
  <c r="J28" i="65"/>
  <c r="AE28" i="65"/>
  <c r="AO27" i="65"/>
  <c r="AN27" i="65"/>
  <c r="AM27" i="65"/>
  <c r="AL27" i="65"/>
  <c r="AK27" i="65"/>
  <c r="AJ27" i="65"/>
  <c r="AI27" i="65"/>
  <c r="AH27" i="65"/>
  <c r="AG27" i="65"/>
  <c r="AF27" i="65"/>
  <c r="AE27" i="65"/>
  <c r="AD27" i="65"/>
  <c r="AC27" i="65"/>
  <c r="AB27" i="65"/>
  <c r="AA27" i="65"/>
  <c r="Z27" i="65"/>
  <c r="U27" i="65"/>
  <c r="W27" i="65"/>
  <c r="AO26" i="65"/>
  <c r="AN26" i="65"/>
  <c r="AM26" i="65"/>
  <c r="AL26" i="65"/>
  <c r="AK26" i="65"/>
  <c r="AJ26" i="65"/>
  <c r="AI26" i="65"/>
  <c r="AH26" i="65"/>
  <c r="AG26" i="65"/>
  <c r="AF26" i="65"/>
  <c r="AE26" i="65"/>
  <c r="AD26" i="65"/>
  <c r="AC26" i="65"/>
  <c r="AB26" i="65"/>
  <c r="Z26" i="65"/>
  <c r="AJ25" i="65"/>
  <c r="AA25" i="65"/>
  <c r="Z25" i="65"/>
  <c r="S25" i="65"/>
  <c r="AN25" i="65"/>
  <c r="AO24" i="65"/>
  <c r="AN24" i="65"/>
  <c r="AM24" i="65"/>
  <c r="AL24" i="65"/>
  <c r="AK24" i="65"/>
  <c r="AJ24" i="65"/>
  <c r="AI24" i="65"/>
  <c r="AH24" i="65"/>
  <c r="AG24" i="65"/>
  <c r="AF24" i="65"/>
  <c r="AE24" i="65"/>
  <c r="AD24" i="65"/>
  <c r="AC24" i="65"/>
  <c r="AB24" i="65"/>
  <c r="AA24" i="65"/>
  <c r="Z24" i="65"/>
  <c r="U24" i="65"/>
  <c r="W24" i="65"/>
  <c r="AO23" i="65"/>
  <c r="AN23" i="65"/>
  <c r="AE23" i="65"/>
  <c r="Z23" i="65"/>
  <c r="I23" i="65"/>
  <c r="AD23" i="65"/>
  <c r="AO22" i="65"/>
  <c r="AN22" i="65"/>
  <c r="AM22" i="65"/>
  <c r="AL22" i="65"/>
  <c r="AK22" i="65"/>
  <c r="AJ22" i="65"/>
  <c r="AI22" i="65"/>
  <c r="AH22" i="65"/>
  <c r="AG22" i="65"/>
  <c r="AF22" i="65"/>
  <c r="AE22" i="65"/>
  <c r="AD22" i="65"/>
  <c r="AC22" i="65"/>
  <c r="AB22" i="65"/>
  <c r="AA22" i="65"/>
  <c r="Z22" i="65"/>
  <c r="U22" i="65"/>
  <c r="W22" i="65"/>
  <c r="AO21" i="65"/>
  <c r="AN21" i="65"/>
  <c r="AM21" i="65"/>
  <c r="AL21" i="65"/>
  <c r="AK21" i="65"/>
  <c r="AJ21" i="65"/>
  <c r="AI21" i="65"/>
  <c r="AH21" i="65"/>
  <c r="AG21" i="65"/>
  <c r="AF21" i="65"/>
  <c r="AE21" i="65"/>
  <c r="AD21" i="65"/>
  <c r="AC21" i="65"/>
  <c r="AB21" i="65"/>
  <c r="AA21" i="65"/>
  <c r="Z21" i="65"/>
  <c r="U21" i="65"/>
  <c r="W21" i="65"/>
  <c r="AO20" i="65"/>
  <c r="AN20" i="65"/>
  <c r="AM20" i="65"/>
  <c r="AL20" i="65"/>
  <c r="AK20" i="65"/>
  <c r="AJ20" i="65"/>
  <c r="AI20" i="65"/>
  <c r="AH20" i="65"/>
  <c r="AG20" i="65"/>
  <c r="AF20" i="65"/>
  <c r="AE20" i="65"/>
  <c r="AD20" i="65"/>
  <c r="AC20" i="65"/>
  <c r="AB20" i="65"/>
  <c r="AA20" i="65"/>
  <c r="Z20" i="65"/>
  <c r="U20" i="65"/>
  <c r="W20" i="65"/>
  <c r="AN19" i="65"/>
  <c r="AM19" i="65"/>
  <c r="AL19" i="65"/>
  <c r="AK19" i="65"/>
  <c r="AJ19" i="65"/>
  <c r="AI19" i="65"/>
  <c r="AH19" i="65"/>
  <c r="AG19" i="65"/>
  <c r="AF19" i="65"/>
  <c r="AE19" i="65"/>
  <c r="AD19" i="65"/>
  <c r="AC19" i="65"/>
  <c r="AB19" i="65"/>
  <c r="Z19" i="65"/>
  <c r="AN18" i="65"/>
  <c r="AM18" i="65"/>
  <c r="AL18" i="65"/>
  <c r="AK18" i="65"/>
  <c r="AJ18" i="65"/>
  <c r="AI18" i="65"/>
  <c r="AH18" i="65"/>
  <c r="AG18" i="65"/>
  <c r="AC18" i="65"/>
  <c r="AB18" i="65"/>
  <c r="AA18" i="65"/>
  <c r="Z18" i="65"/>
  <c r="AO17" i="65"/>
  <c r="AN17" i="65"/>
  <c r="AM17" i="65"/>
  <c r="AL17" i="65"/>
  <c r="AK17" i="65"/>
  <c r="AJ17" i="65"/>
  <c r="AI17" i="65"/>
  <c r="AH17" i="65"/>
  <c r="AG17" i="65"/>
  <c r="AF17" i="65"/>
  <c r="AE17" i="65"/>
  <c r="AD17" i="65"/>
  <c r="AC17" i="65"/>
  <c r="AB17" i="65"/>
  <c r="AA17" i="65"/>
  <c r="Z17" i="65"/>
  <c r="U17" i="65"/>
  <c r="W17" i="65"/>
  <c r="AN16" i="65"/>
  <c r="AM16" i="65"/>
  <c r="AL16" i="65"/>
  <c r="AK16" i="65"/>
  <c r="AJ16" i="65"/>
  <c r="AI16" i="65"/>
  <c r="AH16" i="65"/>
  <c r="AG16" i="65"/>
  <c r="AE16" i="65"/>
  <c r="AD16" i="65"/>
  <c r="AC16" i="65"/>
  <c r="AB16" i="65"/>
  <c r="Z16" i="65"/>
  <c r="T16" i="65"/>
  <c r="AO16" i="65"/>
  <c r="K16" i="65"/>
  <c r="AF16" i="65"/>
  <c r="AO15" i="65"/>
  <c r="AN15" i="65"/>
  <c r="AM15" i="65"/>
  <c r="AL15" i="65"/>
  <c r="AK15" i="65"/>
  <c r="AJ15" i="65"/>
  <c r="AI15" i="65"/>
  <c r="AH15" i="65"/>
  <c r="AG15" i="65"/>
  <c r="AF15" i="65"/>
  <c r="AE15" i="65"/>
  <c r="AD15" i="65"/>
  <c r="AC15" i="65"/>
  <c r="AB15" i="65"/>
  <c r="AA15" i="65"/>
  <c r="Z15" i="65"/>
  <c r="U15" i="65"/>
  <c r="W15" i="65"/>
  <c r="AN14" i="65"/>
  <c r="AG14" i="65"/>
  <c r="AA14" i="65"/>
  <c r="Z14" i="65"/>
  <c r="AO14" i="65"/>
  <c r="AL14" i="65"/>
  <c r="AK14" i="65"/>
  <c r="AE14" i="65"/>
  <c r="AB14" i="65"/>
  <c r="AN12" i="65"/>
  <c r="U12" i="65"/>
  <c r="W12" i="65"/>
  <c r="AO12" i="65"/>
  <c r="J148" i="62"/>
  <c r="F93" i="65"/>
  <c r="U93" i="65"/>
  <c r="W93" i="65"/>
  <c r="K61" i="45"/>
  <c r="L158" i="65"/>
  <c r="AG158" i="65"/>
  <c r="K83" i="50"/>
  <c r="M147" i="65"/>
  <c r="AH147" i="65"/>
  <c r="K61" i="44"/>
  <c r="T63" i="65"/>
  <c r="AO63" i="65"/>
  <c r="L114" i="58"/>
  <c r="J162" i="65"/>
  <c r="AE162" i="65"/>
  <c r="Z226" i="65"/>
  <c r="U226" i="65"/>
  <c r="W226" i="65"/>
  <c r="K101" i="43"/>
  <c r="Q177" i="65"/>
  <c r="AL177" i="65"/>
  <c r="K35" i="44"/>
  <c r="T36" i="65"/>
  <c r="AO36" i="65"/>
  <c r="H33" i="65"/>
  <c r="AC33" i="65"/>
  <c r="L37" i="54"/>
  <c r="J54" i="62"/>
  <c r="E231" i="65"/>
  <c r="Z231" i="65"/>
  <c r="T56" i="65"/>
  <c r="AO56" i="65"/>
  <c r="K51" i="44"/>
  <c r="K93" i="43"/>
  <c r="Q153" i="65"/>
  <c r="U153" i="65"/>
  <c r="W153" i="65"/>
  <c r="J28" i="62"/>
  <c r="E203" i="65"/>
  <c r="L43" i="58"/>
  <c r="J36" i="65"/>
  <c r="AE36" i="65"/>
  <c r="I8" i="52"/>
  <c r="H17" i="52"/>
  <c r="I17" i="52"/>
  <c r="H42" i="44"/>
  <c r="K42" i="44"/>
  <c r="K43" i="44"/>
  <c r="I65" i="51"/>
  <c r="I48" i="38"/>
  <c r="I123" i="38"/>
  <c r="I61" i="54"/>
  <c r="I8" i="58"/>
  <c r="L8" i="58"/>
  <c r="H32" i="57"/>
  <c r="I13" i="38"/>
  <c r="I100" i="38"/>
  <c r="J40" i="62"/>
  <c r="J50" i="62"/>
  <c r="J35" i="57"/>
  <c r="I148" i="38"/>
  <c r="H37" i="43"/>
  <c r="L161" i="65"/>
  <c r="AG161" i="65"/>
  <c r="T177" i="65"/>
  <c r="AO177" i="65"/>
  <c r="H9" i="43"/>
  <c r="H8" i="43"/>
  <c r="K8" i="43"/>
  <c r="E49" i="43"/>
  <c r="H49" i="43"/>
  <c r="H9" i="60"/>
  <c r="H82" i="62"/>
  <c r="H9" i="45"/>
  <c r="H8" i="45"/>
  <c r="H29" i="45"/>
  <c r="H28" i="45"/>
  <c r="K28" i="45"/>
  <c r="H25" i="44"/>
  <c r="K25" i="44"/>
  <c r="H11" i="57"/>
  <c r="I13" i="51"/>
  <c r="I46" i="51"/>
  <c r="I131" i="58"/>
  <c r="J36" i="63"/>
  <c r="F60" i="58"/>
  <c r="I60" i="58"/>
  <c r="I57" i="58"/>
  <c r="I67" i="58"/>
  <c r="I15" i="38"/>
  <c r="F97" i="38"/>
  <c r="I182" i="38"/>
  <c r="I94" i="54"/>
  <c r="I121" i="58"/>
  <c r="O66" i="65"/>
  <c r="AJ66" i="65"/>
  <c r="Q142" i="65"/>
  <c r="AL142" i="65"/>
  <c r="Q156" i="65"/>
  <c r="AL156" i="65"/>
  <c r="E232" i="65"/>
  <c r="Z232" i="65"/>
  <c r="I38" i="52"/>
  <c r="H10" i="60"/>
  <c r="H10" i="63"/>
  <c r="H9" i="63"/>
  <c r="H40" i="57"/>
  <c r="H39" i="57"/>
  <c r="J39" i="57"/>
  <c r="H53" i="57"/>
  <c r="J53" i="57"/>
  <c r="I50" i="38"/>
  <c r="F43" i="38"/>
  <c r="F109" i="38"/>
  <c r="I63" i="51"/>
  <c r="B105" i="51"/>
  <c r="B110" i="51"/>
  <c r="H9" i="50"/>
  <c r="I82" i="38"/>
  <c r="L40" i="65"/>
  <c r="AG40" i="65"/>
  <c r="F28" i="65"/>
  <c r="AA28" i="65"/>
  <c r="H89" i="43"/>
  <c r="D23" i="63"/>
  <c r="H23" i="63"/>
  <c r="J23" i="63"/>
  <c r="B106" i="51"/>
  <c r="B111" i="51"/>
  <c r="I58" i="58"/>
  <c r="F99" i="38"/>
  <c r="F153" i="38"/>
  <c r="I179" i="38"/>
  <c r="I60" i="54"/>
  <c r="I59" i="54"/>
  <c r="I120" i="54"/>
  <c r="B107" i="51"/>
  <c r="B112" i="51"/>
  <c r="B108" i="51"/>
  <c r="B113" i="51"/>
  <c r="I69" i="58"/>
  <c r="F132" i="38"/>
  <c r="F157" i="38"/>
  <c r="I184" i="38"/>
  <c r="I126" i="54"/>
  <c r="U176" i="65"/>
  <c r="W176" i="65"/>
  <c r="U187" i="65"/>
  <c r="W187" i="65"/>
  <c r="U150" i="65"/>
  <c r="W150" i="65"/>
  <c r="AE150" i="65"/>
  <c r="U155" i="65"/>
  <c r="W155" i="65"/>
  <c r="AE40" i="65"/>
  <c r="U158" i="65"/>
  <c r="W158" i="65"/>
  <c r="Z205" i="65"/>
  <c r="U29" i="65"/>
  <c r="W29" i="65"/>
  <c r="Z193" i="65"/>
  <c r="U197" i="65"/>
  <c r="W197" i="65"/>
  <c r="U221" i="65"/>
  <c r="W221" i="65"/>
  <c r="T43" i="65"/>
  <c r="AO43" i="65"/>
  <c r="AH142" i="65"/>
  <c r="U142" i="65"/>
  <c r="W142" i="65"/>
  <c r="Z196" i="65"/>
  <c r="U196" i="65"/>
  <c r="W196" i="65"/>
  <c r="Z203" i="65"/>
  <c r="U203" i="65"/>
  <c r="W203" i="65"/>
  <c r="F46" i="52"/>
  <c r="F36" i="52"/>
  <c r="D49" i="60"/>
  <c r="H49" i="60"/>
  <c r="D58" i="60"/>
  <c r="H55" i="60"/>
  <c r="H10" i="50"/>
  <c r="H8" i="50"/>
  <c r="E42" i="50"/>
  <c r="I28" i="58"/>
  <c r="E128" i="62"/>
  <c r="E117" i="62"/>
  <c r="H117" i="62"/>
  <c r="E112" i="62"/>
  <c r="H112" i="62"/>
  <c r="J65" i="57"/>
  <c r="O171" i="65"/>
  <c r="AJ171" i="65"/>
  <c r="AG28" i="65"/>
  <c r="O43" i="65"/>
  <c r="AJ43" i="65"/>
  <c r="AC121" i="65"/>
  <c r="U121" i="65"/>
  <c r="W121" i="65"/>
  <c r="K62" i="43"/>
  <c r="Q44" i="65"/>
  <c r="AL44" i="65"/>
  <c r="E127" i="62"/>
  <c r="E123" i="62"/>
  <c r="E111" i="62"/>
  <c r="H106" i="62"/>
  <c r="D129" i="62"/>
  <c r="G21" i="45"/>
  <c r="H21" i="45"/>
  <c r="K37" i="45"/>
  <c r="K62" i="45"/>
  <c r="L167" i="65"/>
  <c r="Z206" i="65"/>
  <c r="U206" i="65"/>
  <c r="W206" i="65"/>
  <c r="E36" i="52"/>
  <c r="I44" i="52"/>
  <c r="E129" i="62"/>
  <c r="E125" i="62"/>
  <c r="H125" i="62"/>
  <c r="T28" i="65"/>
  <c r="AO28" i="65"/>
  <c r="U38" i="65"/>
  <c r="W38" i="65"/>
  <c r="AN161" i="65"/>
  <c r="Z216" i="65"/>
  <c r="U216" i="65"/>
  <c r="W216" i="65"/>
  <c r="Z228" i="65"/>
  <c r="U228" i="65"/>
  <c r="W228" i="65"/>
  <c r="L8" i="52"/>
  <c r="I13" i="52"/>
  <c r="L13" i="52"/>
  <c r="I66" i="52"/>
  <c r="L58" i="52"/>
  <c r="I69" i="52"/>
  <c r="G66" i="65"/>
  <c r="J42" i="62"/>
  <c r="E218" i="65"/>
  <c r="J51" i="62"/>
  <c r="E227" i="65"/>
  <c r="J61" i="62"/>
  <c r="E36" i="65"/>
  <c r="H124" i="62"/>
  <c r="J39" i="63"/>
  <c r="S180" i="65"/>
  <c r="G20" i="45"/>
  <c r="H20" i="45"/>
  <c r="K8" i="45"/>
  <c r="D66" i="61"/>
  <c r="H38" i="61"/>
  <c r="H37" i="61"/>
  <c r="E122" i="51"/>
  <c r="I111" i="51"/>
  <c r="F73" i="51"/>
  <c r="I73" i="51"/>
  <c r="AA93" i="65"/>
  <c r="AH155" i="65"/>
  <c r="AH156" i="65"/>
  <c r="H47" i="43"/>
  <c r="H6" i="62"/>
  <c r="J7" i="62"/>
  <c r="J39" i="62"/>
  <c r="E215" i="65"/>
  <c r="E225" i="65"/>
  <c r="J49" i="62"/>
  <c r="D111" i="62"/>
  <c r="G146" i="62"/>
  <c r="G116" i="62"/>
  <c r="Q84" i="62"/>
  <c r="U52" i="65"/>
  <c r="W52" i="65"/>
  <c r="AE159" i="65"/>
  <c r="AE165" i="65"/>
  <c r="U183" i="65"/>
  <c r="W183" i="65"/>
  <c r="Z219" i="65"/>
  <c r="U219" i="65"/>
  <c r="W219" i="65"/>
  <c r="Z224" i="65"/>
  <c r="U224" i="65"/>
  <c r="W224" i="65"/>
  <c r="D68" i="43"/>
  <c r="H68" i="43"/>
  <c r="H67" i="43"/>
  <c r="H56" i="43"/>
  <c r="H48" i="43"/>
  <c r="D58" i="43"/>
  <c r="D57" i="60"/>
  <c r="D48" i="60"/>
  <c r="H48" i="60"/>
  <c r="H54" i="60"/>
  <c r="J47" i="62"/>
  <c r="E223" i="65"/>
  <c r="H83" i="62"/>
  <c r="H88" i="62"/>
  <c r="H153" i="62"/>
  <c r="H22" i="44"/>
  <c r="H34" i="57"/>
  <c r="U185" i="65"/>
  <c r="W185" i="65"/>
  <c r="Z208" i="65"/>
  <c r="H28" i="60"/>
  <c r="K29" i="60"/>
  <c r="E210" i="65"/>
  <c r="J34" i="62"/>
  <c r="E220" i="65"/>
  <c r="J44" i="62"/>
  <c r="J53" i="62"/>
  <c r="E230" i="65"/>
  <c r="H149" i="62"/>
  <c r="H7" i="63"/>
  <c r="J7" i="63"/>
  <c r="D27" i="63"/>
  <c r="H27" i="63"/>
  <c r="H35" i="45"/>
  <c r="H34" i="45"/>
  <c r="K45" i="44"/>
  <c r="H7" i="61"/>
  <c r="H6" i="61"/>
  <c r="E48" i="57"/>
  <c r="H48" i="57"/>
  <c r="H47" i="57"/>
  <c r="F108" i="51"/>
  <c r="I49" i="51"/>
  <c r="E59" i="51"/>
  <c r="I130" i="58"/>
  <c r="E108" i="38"/>
  <c r="G44" i="38"/>
  <c r="G24" i="38"/>
  <c r="H36" i="43"/>
  <c r="H34" i="43"/>
  <c r="H81" i="62"/>
  <c r="F87" i="62"/>
  <c r="H87" i="62"/>
  <c r="H107" i="62"/>
  <c r="E50" i="45"/>
  <c r="E15" i="44"/>
  <c r="H15" i="44"/>
  <c r="H14" i="44"/>
  <c r="E33" i="57"/>
  <c r="H33" i="57"/>
  <c r="F45" i="51"/>
  <c r="I9" i="51"/>
  <c r="I32" i="52"/>
  <c r="I31" i="52"/>
  <c r="H45" i="43"/>
  <c r="H40" i="60"/>
  <c r="H41" i="60"/>
  <c r="H108" i="62"/>
  <c r="B122" i="62"/>
  <c r="B110" i="62"/>
  <c r="H44" i="57"/>
  <c r="D118" i="51"/>
  <c r="F112" i="51"/>
  <c r="I106" i="51"/>
  <c r="F68" i="51"/>
  <c r="I68" i="51"/>
  <c r="D117" i="51"/>
  <c r="I117" i="51"/>
  <c r="H54" i="50"/>
  <c r="E130" i="38"/>
  <c r="E113" i="38"/>
  <c r="E61" i="38"/>
  <c r="H13" i="57"/>
  <c r="H8" i="57"/>
  <c r="G48" i="51"/>
  <c r="I12" i="51"/>
  <c r="D116" i="51"/>
  <c r="I116" i="51"/>
  <c r="I105" i="51"/>
  <c r="F67" i="51"/>
  <c r="I67" i="51"/>
  <c r="F110" i="51"/>
  <c r="I47" i="51"/>
  <c r="H75" i="50"/>
  <c r="F132" i="58"/>
  <c r="I132" i="58"/>
  <c r="I122" i="58"/>
  <c r="I120" i="58"/>
  <c r="E49" i="50"/>
  <c r="H49" i="50"/>
  <c r="H48" i="50"/>
  <c r="I20" i="58"/>
  <c r="I79" i="58"/>
  <c r="H100" i="58"/>
  <c r="I100" i="58"/>
  <c r="I99" i="58"/>
  <c r="G23" i="38"/>
  <c r="G43" i="38"/>
  <c r="G109" i="38"/>
  <c r="F60" i="38"/>
  <c r="G51" i="38"/>
  <c r="I51" i="38"/>
  <c r="I18" i="38"/>
  <c r="F181" i="38"/>
  <c r="I181" i="38"/>
  <c r="I143" i="38"/>
  <c r="I11" i="51"/>
  <c r="H41" i="50"/>
  <c r="F28" i="47"/>
  <c r="F40" i="47"/>
  <c r="E32" i="47"/>
  <c r="I62" i="58"/>
  <c r="G22" i="38"/>
  <c r="G42" i="38"/>
  <c r="G108" i="38"/>
  <c r="F59" i="38"/>
  <c r="G49" i="38"/>
  <c r="I49" i="38"/>
  <c r="I16" i="38"/>
  <c r="E91" i="54"/>
  <c r="I85" i="54"/>
  <c r="E56" i="54"/>
  <c r="E128" i="54"/>
  <c r="I128" i="54"/>
  <c r="I119" i="54"/>
  <c r="I129" i="54"/>
  <c r="F151" i="54"/>
  <c r="F139" i="54"/>
  <c r="I139" i="54"/>
  <c r="I138" i="54"/>
  <c r="K59" i="50"/>
  <c r="D40" i="47"/>
  <c r="H28" i="47"/>
  <c r="H27" i="47"/>
  <c r="I61" i="58"/>
  <c r="I65" i="58"/>
  <c r="L95" i="58"/>
  <c r="E109" i="38"/>
  <c r="G47" i="38"/>
  <c r="I47" i="38"/>
  <c r="I14" i="38"/>
  <c r="I120" i="38"/>
  <c r="E73" i="38"/>
  <c r="I73" i="38"/>
  <c r="F98" i="38"/>
  <c r="F133" i="38"/>
  <c r="I42" i="54"/>
  <c r="I41" i="54"/>
  <c r="H8" i="47"/>
  <c r="H7" i="47"/>
  <c r="D13" i="47"/>
  <c r="I9" i="38"/>
  <c r="I10" i="38"/>
  <c r="I11" i="38"/>
  <c r="E22" i="38"/>
  <c r="E23" i="38"/>
  <c r="I23" i="38"/>
  <c r="E24" i="38"/>
  <c r="I119" i="38"/>
  <c r="E72" i="38"/>
  <c r="I72" i="38"/>
  <c r="E13" i="47"/>
  <c r="F24" i="38"/>
  <c r="I118" i="38"/>
  <c r="E71" i="38"/>
  <c r="I71" i="38"/>
  <c r="I122" i="38"/>
  <c r="E75" i="38"/>
  <c r="I75" i="38"/>
  <c r="F134" i="38"/>
  <c r="I158" i="38"/>
  <c r="F191" i="38"/>
  <c r="I191" i="38"/>
  <c r="F42" i="54"/>
  <c r="I9" i="54"/>
  <c r="I8" i="54"/>
  <c r="F56" i="54"/>
  <c r="I80" i="38"/>
  <c r="I121" i="38"/>
  <c r="E74" i="38"/>
  <c r="I74" i="38"/>
  <c r="I149" i="38"/>
  <c r="F154" i="38"/>
  <c r="G199" i="38"/>
  <c r="I199" i="38"/>
  <c r="I107" i="54"/>
  <c r="I106" i="54"/>
  <c r="I150" i="38"/>
  <c r="F156" i="38"/>
  <c r="F186" i="38"/>
  <c r="I186" i="38"/>
  <c r="I66" i="54"/>
  <c r="I65" i="54"/>
  <c r="I83" i="54"/>
  <c r="I77" i="54"/>
  <c r="I117" i="54"/>
  <c r="E76" i="38"/>
  <c r="I76" i="38"/>
  <c r="F81" i="38"/>
  <c r="I81" i="38"/>
  <c r="F155" i="38"/>
  <c r="U177" i="65"/>
  <c r="W177" i="65"/>
  <c r="U162" i="65"/>
  <c r="W162" i="65"/>
  <c r="U147" i="65"/>
  <c r="W147" i="65"/>
  <c r="U231" i="65"/>
  <c r="W231" i="65"/>
  <c r="U161" i="65"/>
  <c r="W161" i="65"/>
  <c r="AL153" i="65"/>
  <c r="H31" i="57"/>
  <c r="H31" i="43"/>
  <c r="J10" i="63"/>
  <c r="U232" i="65"/>
  <c r="W232" i="65"/>
  <c r="L59" i="54"/>
  <c r="H44" i="65"/>
  <c r="AC44" i="65"/>
  <c r="I43" i="38"/>
  <c r="H85" i="62"/>
  <c r="J85" i="62"/>
  <c r="H123" i="62"/>
  <c r="U40" i="65"/>
  <c r="W40" i="65"/>
  <c r="F160" i="38"/>
  <c r="I153" i="38"/>
  <c r="I8" i="38"/>
  <c r="H13" i="47"/>
  <c r="I125" i="54"/>
  <c r="H39" i="60"/>
  <c r="K39" i="60"/>
  <c r="H47" i="60"/>
  <c r="K89" i="43"/>
  <c r="Q171" i="65"/>
  <c r="AL171" i="65"/>
  <c r="G21" i="43"/>
  <c r="H21" i="43"/>
  <c r="I22" i="38"/>
  <c r="I116" i="54"/>
  <c r="H71" i="65"/>
  <c r="AC71" i="65"/>
  <c r="H44" i="43"/>
  <c r="K44" i="43"/>
  <c r="U156" i="65"/>
  <c r="W156" i="65"/>
  <c r="F190" i="38"/>
  <c r="I190" i="38"/>
  <c r="I157" i="38"/>
  <c r="H8" i="60"/>
  <c r="L57" i="58"/>
  <c r="J43" i="65"/>
  <c r="AE43" i="65"/>
  <c r="L125" i="54"/>
  <c r="I132" i="54"/>
  <c r="H76" i="65"/>
  <c r="J31" i="57"/>
  <c r="H22" i="57"/>
  <c r="O36" i="65"/>
  <c r="AJ36" i="65"/>
  <c r="K48" i="50"/>
  <c r="M43" i="65"/>
  <c r="AH43" i="65"/>
  <c r="L77" i="54"/>
  <c r="H56" i="65"/>
  <c r="AC56" i="65"/>
  <c r="F19" i="65"/>
  <c r="H29" i="54"/>
  <c r="I29" i="54"/>
  <c r="L41" i="54"/>
  <c r="H36" i="65"/>
  <c r="AC36" i="65"/>
  <c r="L138" i="54"/>
  <c r="H128" i="65"/>
  <c r="H30" i="50"/>
  <c r="K30" i="50"/>
  <c r="I108" i="51"/>
  <c r="F70" i="51"/>
  <c r="I70" i="51"/>
  <c r="F113" i="51"/>
  <c r="D119" i="51"/>
  <c r="I119" i="51"/>
  <c r="K28" i="60"/>
  <c r="P28" i="65"/>
  <c r="AK28" i="65"/>
  <c r="L69" i="52"/>
  <c r="G74" i="65"/>
  <c r="E146" i="62"/>
  <c r="H146" i="62"/>
  <c r="H144" i="62"/>
  <c r="H127" i="62"/>
  <c r="E116" i="62"/>
  <c r="H116" i="62"/>
  <c r="H114" i="62"/>
  <c r="I156" i="38"/>
  <c r="F189" i="38"/>
  <c r="I189" i="38"/>
  <c r="I154" i="38"/>
  <c r="F187" i="38"/>
  <c r="I187" i="38"/>
  <c r="F161" i="38"/>
  <c r="M151" i="54"/>
  <c r="I151" i="54"/>
  <c r="I150" i="54"/>
  <c r="L79" i="58"/>
  <c r="J56" i="65"/>
  <c r="AE56" i="65"/>
  <c r="H21" i="57"/>
  <c r="AJ14" i="65"/>
  <c r="J8" i="57"/>
  <c r="G110" i="38"/>
  <c r="I44" i="38"/>
  <c r="K34" i="45"/>
  <c r="K67" i="43"/>
  <c r="G83" i="43"/>
  <c r="H83" i="43"/>
  <c r="H82" i="43"/>
  <c r="U215" i="65"/>
  <c r="W215" i="65"/>
  <c r="Z215" i="65"/>
  <c r="H19" i="45"/>
  <c r="U218" i="65"/>
  <c r="W218" i="65"/>
  <c r="Z218" i="65"/>
  <c r="H58" i="60"/>
  <c r="D60" i="60"/>
  <c r="H60" i="60"/>
  <c r="K7" i="47"/>
  <c r="G19" i="47"/>
  <c r="H19" i="47"/>
  <c r="AF14" i="65"/>
  <c r="E129" i="38"/>
  <c r="I109" i="38"/>
  <c r="E60" i="38"/>
  <c r="I60" i="38"/>
  <c r="E112" i="38"/>
  <c r="I56" i="54"/>
  <c r="L20" i="58"/>
  <c r="J18" i="65"/>
  <c r="AE18" i="65"/>
  <c r="G107" i="51"/>
  <c r="I48" i="51"/>
  <c r="E116" i="38"/>
  <c r="I113" i="38"/>
  <c r="E64" i="38"/>
  <c r="I64" i="38"/>
  <c r="E123" i="51"/>
  <c r="F74" i="51"/>
  <c r="I74" i="51"/>
  <c r="I112" i="51"/>
  <c r="L31" i="52"/>
  <c r="H18" i="52"/>
  <c r="I18" i="52"/>
  <c r="G36" i="65"/>
  <c r="AB36" i="65"/>
  <c r="I8" i="51"/>
  <c r="H17" i="44"/>
  <c r="K14" i="44"/>
  <c r="T18" i="65"/>
  <c r="AO18" i="65"/>
  <c r="H79" i="62"/>
  <c r="E128" i="38"/>
  <c r="E111" i="38"/>
  <c r="I108" i="38"/>
  <c r="E59" i="38"/>
  <c r="I59" i="38"/>
  <c r="Z210" i="65"/>
  <c r="U210" i="65"/>
  <c r="W210" i="65"/>
  <c r="J153" i="62"/>
  <c r="F95" i="65"/>
  <c r="H58" i="43"/>
  <c r="D60" i="43"/>
  <c r="H60" i="43"/>
  <c r="K31" i="43"/>
  <c r="Q25" i="65"/>
  <c r="AL25" i="65"/>
  <c r="H66" i="61"/>
  <c r="D46" i="61"/>
  <c r="H46" i="61"/>
  <c r="H45" i="61"/>
  <c r="AN180" i="65"/>
  <c r="U180" i="65"/>
  <c r="W180" i="65"/>
  <c r="L66" i="52"/>
  <c r="G71" i="65"/>
  <c r="I36" i="52"/>
  <c r="K9" i="63"/>
  <c r="J9" i="63"/>
  <c r="S36" i="65"/>
  <c r="AN36" i="65"/>
  <c r="H104" i="62"/>
  <c r="H42" i="50"/>
  <c r="H40" i="50"/>
  <c r="E55" i="50"/>
  <c r="L8" i="54"/>
  <c r="H28" i="54"/>
  <c r="I28" i="54"/>
  <c r="I70" i="38"/>
  <c r="H33" i="38"/>
  <c r="I33" i="38"/>
  <c r="I26" i="38"/>
  <c r="L8" i="38"/>
  <c r="I28" i="38"/>
  <c r="AD14" i="65"/>
  <c r="L99" i="58"/>
  <c r="J63" i="65"/>
  <c r="AE63" i="65"/>
  <c r="G20" i="47"/>
  <c r="H20" i="47"/>
  <c r="K27" i="47"/>
  <c r="K36" i="65"/>
  <c r="AF36" i="65"/>
  <c r="E96" i="54"/>
  <c r="I96" i="54"/>
  <c r="E73" i="54"/>
  <c r="I73" i="54"/>
  <c r="I72" i="54"/>
  <c r="I91" i="54"/>
  <c r="E49" i="57"/>
  <c r="H49" i="57"/>
  <c r="J44" i="57"/>
  <c r="H23" i="57"/>
  <c r="O56" i="65"/>
  <c r="AJ56" i="65"/>
  <c r="L130" i="58"/>
  <c r="I136" i="58"/>
  <c r="J71" i="65"/>
  <c r="AE71" i="65"/>
  <c r="Z220" i="65"/>
  <c r="U220" i="65"/>
  <c r="W220" i="65"/>
  <c r="K47" i="60"/>
  <c r="P43" i="65"/>
  <c r="AK43" i="65"/>
  <c r="H55" i="43"/>
  <c r="G23" i="43"/>
  <c r="H23" i="43"/>
  <c r="Z225" i="65"/>
  <c r="U225" i="65"/>
  <c r="W225" i="65"/>
  <c r="J6" i="62"/>
  <c r="E190" i="65"/>
  <c r="K122" i="51"/>
  <c r="I122" i="51"/>
  <c r="K13" i="47"/>
  <c r="K18" i="65"/>
  <c r="AF18" i="65"/>
  <c r="D42" i="47"/>
  <c r="D32" i="47"/>
  <c r="H32" i="47"/>
  <c r="H40" i="47"/>
  <c r="L120" i="58"/>
  <c r="J66" i="65"/>
  <c r="AE66" i="65"/>
  <c r="E121" i="51"/>
  <c r="I110" i="51"/>
  <c r="F72" i="51"/>
  <c r="I72" i="51"/>
  <c r="J149" i="62"/>
  <c r="F94" i="65"/>
  <c r="U230" i="65"/>
  <c r="W230" i="65"/>
  <c r="Z230" i="65"/>
  <c r="K22" i="44"/>
  <c r="T25" i="65"/>
  <c r="AO25" i="65"/>
  <c r="U223" i="65"/>
  <c r="W223" i="65"/>
  <c r="Z223" i="65"/>
  <c r="H57" i="60"/>
  <c r="D59" i="60"/>
  <c r="H59" i="60"/>
  <c r="D128" i="62"/>
  <c r="H128" i="62"/>
  <c r="H111" i="62"/>
  <c r="K37" i="61"/>
  <c r="G19" i="61"/>
  <c r="H19" i="61"/>
  <c r="R36" i="65"/>
  <c r="AM36" i="65"/>
  <c r="Z36" i="65"/>
  <c r="AG167" i="65"/>
  <c r="U167" i="65"/>
  <c r="W167" i="65"/>
  <c r="L28" i="58"/>
  <c r="J25" i="65"/>
  <c r="AE25" i="65"/>
  <c r="F37" i="52"/>
  <c r="I37" i="52"/>
  <c r="I46" i="52"/>
  <c r="H19" i="52"/>
  <c r="I19" i="52"/>
  <c r="F162" i="38"/>
  <c r="F188" i="38"/>
  <c r="I188" i="38"/>
  <c r="I155" i="38"/>
  <c r="L65" i="54"/>
  <c r="H46" i="65"/>
  <c r="L106" i="54"/>
  <c r="H66" i="65"/>
  <c r="AC66" i="65"/>
  <c r="I24" i="38"/>
  <c r="E134" i="38"/>
  <c r="I134" i="38"/>
  <c r="I130" i="38"/>
  <c r="E99" i="38"/>
  <c r="F96" i="51"/>
  <c r="I45" i="51"/>
  <c r="I44" i="51"/>
  <c r="E51" i="45"/>
  <c r="E45" i="45"/>
  <c r="H45" i="45"/>
  <c r="H50" i="45"/>
  <c r="E56" i="45"/>
  <c r="H56" i="45"/>
  <c r="H55" i="45"/>
  <c r="K34" i="43"/>
  <c r="Q28" i="65"/>
  <c r="AL28" i="65"/>
  <c r="I42" i="38"/>
  <c r="G18" i="61"/>
  <c r="H18" i="61"/>
  <c r="K6" i="61"/>
  <c r="H10" i="61"/>
  <c r="K10" i="61"/>
  <c r="AM14" i="65"/>
  <c r="H26" i="63"/>
  <c r="J27" i="63"/>
  <c r="G22" i="60"/>
  <c r="H22" i="60"/>
  <c r="U227" i="65"/>
  <c r="W227" i="65"/>
  <c r="Z227" i="65"/>
  <c r="AB66" i="65"/>
  <c r="H129" i="62"/>
  <c r="G21" i="50"/>
  <c r="H21" i="50"/>
  <c r="H31" i="50"/>
  <c r="K31" i="50"/>
  <c r="AH14" i="65"/>
  <c r="K8" i="50"/>
  <c r="Q36" i="65"/>
  <c r="AL36" i="65"/>
  <c r="G22" i="43"/>
  <c r="H22" i="43"/>
  <c r="H20" i="43"/>
  <c r="L116" i="54"/>
  <c r="I133" i="54"/>
  <c r="F193" i="38"/>
  <c r="I193" i="38"/>
  <c r="F83" i="38"/>
  <c r="I83" i="38"/>
  <c r="I160" i="38"/>
  <c r="K8" i="60"/>
  <c r="G20" i="60"/>
  <c r="H20" i="60"/>
  <c r="H19" i="60"/>
  <c r="H12" i="60"/>
  <c r="K12" i="60"/>
  <c r="I21" i="38"/>
  <c r="L21" i="38"/>
  <c r="P36" i="65"/>
  <c r="AK36" i="65"/>
  <c r="H53" i="60"/>
  <c r="G21" i="60"/>
  <c r="H21" i="60"/>
  <c r="H121" i="62"/>
  <c r="G67" i="60"/>
  <c r="H67" i="60"/>
  <c r="H66" i="60"/>
  <c r="K53" i="60"/>
  <c r="P56" i="65"/>
  <c r="AK56" i="65"/>
  <c r="K40" i="50"/>
  <c r="H29" i="50"/>
  <c r="G22" i="50"/>
  <c r="H22" i="50"/>
  <c r="M36" i="65"/>
  <c r="AH36" i="65"/>
  <c r="G137" i="62"/>
  <c r="H137" i="62"/>
  <c r="H136" i="62"/>
  <c r="J121" i="62"/>
  <c r="E142" i="62"/>
  <c r="H142" i="62"/>
  <c r="H141" i="62"/>
  <c r="F56" i="65"/>
  <c r="F195" i="38"/>
  <c r="I195" i="38"/>
  <c r="I177" i="38"/>
  <c r="F85" i="38"/>
  <c r="I85" i="38"/>
  <c r="I162" i="38"/>
  <c r="H109" i="62"/>
  <c r="G93" i="62"/>
  <c r="H93" i="62"/>
  <c r="L28" i="38"/>
  <c r="I25" i="65"/>
  <c r="AD25" i="65"/>
  <c r="L70" i="38"/>
  <c r="I44" i="65"/>
  <c r="AD44" i="65"/>
  <c r="AB71" i="65"/>
  <c r="AA95" i="65"/>
  <c r="U95" i="65"/>
  <c r="W95" i="65"/>
  <c r="H97" i="62"/>
  <c r="G91" i="62"/>
  <c r="H91" i="62"/>
  <c r="J79" i="62"/>
  <c r="F16" i="65"/>
  <c r="H25" i="51"/>
  <c r="I25" i="51"/>
  <c r="L8" i="51"/>
  <c r="AI14" i="65"/>
  <c r="K82" i="43"/>
  <c r="Q63" i="65"/>
  <c r="AL63" i="65"/>
  <c r="H20" i="57"/>
  <c r="AB74" i="65"/>
  <c r="H20" i="50"/>
  <c r="E103" i="38"/>
  <c r="I103" i="38"/>
  <c r="I99" i="38"/>
  <c r="E68" i="50"/>
  <c r="H55" i="50"/>
  <c r="H53" i="50"/>
  <c r="E50" i="50"/>
  <c r="H50" i="50"/>
  <c r="K19" i="45"/>
  <c r="L23" i="65"/>
  <c r="AG23" i="65"/>
  <c r="H25" i="45"/>
  <c r="I110" i="38"/>
  <c r="F61" i="38"/>
  <c r="I61" i="38"/>
  <c r="K55" i="45"/>
  <c r="L63" i="65"/>
  <c r="AG63" i="65"/>
  <c r="H26" i="51"/>
  <c r="I26" i="51"/>
  <c r="L44" i="51"/>
  <c r="N36" i="65"/>
  <c r="AI36" i="65"/>
  <c r="U94" i="65"/>
  <c r="W94" i="65"/>
  <c r="AA94" i="65"/>
  <c r="G21" i="47"/>
  <c r="H21" i="47"/>
  <c r="H18" i="47"/>
  <c r="Q59" i="62"/>
  <c r="Q43" i="65"/>
  <c r="AL43" i="65"/>
  <c r="K55" i="43"/>
  <c r="J49" i="57"/>
  <c r="O63" i="65"/>
  <c r="AJ63" i="65"/>
  <c r="H65" i="61"/>
  <c r="G20" i="61"/>
  <c r="H20" i="61"/>
  <c r="H17" i="61"/>
  <c r="I111" i="38"/>
  <c r="E114" i="38"/>
  <c r="E62" i="38"/>
  <c r="I62" i="38"/>
  <c r="I16" i="52"/>
  <c r="K123" i="51"/>
  <c r="I123" i="51"/>
  <c r="I51" i="54"/>
  <c r="H32" i="54"/>
  <c r="I32" i="54"/>
  <c r="I26" i="54"/>
  <c r="E133" i="38"/>
  <c r="I133" i="38"/>
  <c r="I129" i="38"/>
  <c r="E98" i="38"/>
  <c r="I43" i="52"/>
  <c r="AG33" i="65"/>
  <c r="U33" i="65"/>
  <c r="W33" i="65"/>
  <c r="I113" i="51"/>
  <c r="F75" i="51"/>
  <c r="I75" i="51"/>
  <c r="E124" i="51"/>
  <c r="U46" i="65"/>
  <c r="W46" i="65"/>
  <c r="AC46" i="65"/>
  <c r="D34" i="47"/>
  <c r="H34" i="47"/>
  <c r="D44" i="47"/>
  <c r="H42" i="47"/>
  <c r="L72" i="54"/>
  <c r="H47" i="65"/>
  <c r="H35" i="38"/>
  <c r="I35" i="38"/>
  <c r="M150" i="54"/>
  <c r="L150" i="54"/>
  <c r="H130" i="65"/>
  <c r="AA19" i="65"/>
  <c r="L132" i="54"/>
  <c r="I136" i="54"/>
  <c r="K20" i="43"/>
  <c r="K110" i="43"/>
  <c r="Q23" i="65"/>
  <c r="AL23" i="65"/>
  <c r="J26" i="63"/>
  <c r="J48" i="63"/>
  <c r="K26" i="63"/>
  <c r="S43" i="65"/>
  <c r="AN43" i="65"/>
  <c r="AN234" i="65"/>
  <c r="E46" i="45"/>
  <c r="H46" i="45"/>
  <c r="H44" i="45"/>
  <c r="H51" i="45"/>
  <c r="I135" i="54"/>
  <c r="L133" i="54"/>
  <c r="H81" i="65"/>
  <c r="U190" i="65"/>
  <c r="W190" i="65"/>
  <c r="Z190" i="65"/>
  <c r="Z234" i="65"/>
  <c r="L136" i="58"/>
  <c r="L139" i="58"/>
  <c r="J74" i="65"/>
  <c r="AE74" i="65"/>
  <c r="AE234" i="65"/>
  <c r="AC14" i="65"/>
  <c r="K45" i="61"/>
  <c r="R43" i="65"/>
  <c r="AM43" i="65"/>
  <c r="I116" i="38"/>
  <c r="E67" i="38"/>
  <c r="I67" i="38"/>
  <c r="J114" i="62"/>
  <c r="F44" i="65"/>
  <c r="I41" i="38"/>
  <c r="H49" i="45"/>
  <c r="F59" i="51"/>
  <c r="I59" i="51"/>
  <c r="I96" i="51"/>
  <c r="K121" i="51"/>
  <c r="I121" i="51"/>
  <c r="I90" i="54"/>
  <c r="G92" i="62"/>
  <c r="H92" i="62"/>
  <c r="J104" i="62"/>
  <c r="F36" i="65"/>
  <c r="I35" i="52"/>
  <c r="E132" i="38"/>
  <c r="I132" i="38"/>
  <c r="I128" i="38"/>
  <c r="E97" i="38"/>
  <c r="K17" i="44"/>
  <c r="K78" i="44"/>
  <c r="T19" i="65"/>
  <c r="AO19" i="65"/>
  <c r="AO234" i="65"/>
  <c r="E118" i="51"/>
  <c r="I118" i="51"/>
  <c r="I107" i="51"/>
  <c r="F69" i="51"/>
  <c r="I69" i="51"/>
  <c r="I112" i="38"/>
  <c r="E63" i="38"/>
  <c r="I63" i="38"/>
  <c r="E115" i="38"/>
  <c r="F194" i="38"/>
  <c r="I194" i="38"/>
  <c r="I161" i="38"/>
  <c r="F84" i="38"/>
  <c r="I84" i="38"/>
  <c r="J144" i="62"/>
  <c r="F89" i="65"/>
  <c r="AC128" i="65"/>
  <c r="U128" i="65"/>
  <c r="W128" i="65"/>
  <c r="AC76" i="65"/>
  <c r="U76" i="65"/>
  <c r="W76" i="65"/>
  <c r="H25" i="60"/>
  <c r="K19" i="60"/>
  <c r="P23" i="65"/>
  <c r="AK23" i="65"/>
  <c r="I18" i="65"/>
  <c r="U18" i="65"/>
  <c r="W18" i="65"/>
  <c r="I78" i="38"/>
  <c r="U19" i="65"/>
  <c r="W19" i="65"/>
  <c r="L26" i="54"/>
  <c r="I21" i="54"/>
  <c r="H28" i="65"/>
  <c r="I17" i="54"/>
  <c r="K18" i="47"/>
  <c r="K23" i="65"/>
  <c r="AF23" i="65"/>
  <c r="H24" i="47"/>
  <c r="K44" i="45"/>
  <c r="L43" i="65"/>
  <c r="AG43" i="65"/>
  <c r="L177" i="38"/>
  <c r="I206" i="38"/>
  <c r="I71" i="65"/>
  <c r="AC47" i="65"/>
  <c r="E76" i="50"/>
  <c r="H76" i="50"/>
  <c r="H74" i="50"/>
  <c r="H68" i="50"/>
  <c r="H66" i="50"/>
  <c r="I58" i="51"/>
  <c r="W14" i="65"/>
  <c r="I124" i="51"/>
  <c r="I115" i="51"/>
  <c r="K124" i="51"/>
  <c r="L51" i="54"/>
  <c r="H43" i="65"/>
  <c r="AC43" i="65"/>
  <c r="F43" i="65"/>
  <c r="J109" i="62"/>
  <c r="AA56" i="65"/>
  <c r="U89" i="65"/>
  <c r="W89" i="65"/>
  <c r="AA89" i="65"/>
  <c r="I127" i="38"/>
  <c r="K49" i="45"/>
  <c r="L56" i="65"/>
  <c r="AG56" i="65"/>
  <c r="AA44" i="65"/>
  <c r="U44" i="65"/>
  <c r="W44" i="65"/>
  <c r="K65" i="61"/>
  <c r="G76" i="61"/>
  <c r="H76" i="61"/>
  <c r="H75" i="61"/>
  <c r="R56" i="65"/>
  <c r="AM56" i="65"/>
  <c r="K25" i="45"/>
  <c r="K64" i="45"/>
  <c r="L25" i="65"/>
  <c r="AG25" i="65"/>
  <c r="U74" i="65"/>
  <c r="W74" i="65"/>
  <c r="H89" i="62"/>
  <c r="J141" i="62"/>
  <c r="F86" i="65"/>
  <c r="K25" i="60"/>
  <c r="K71" i="60"/>
  <c r="P25" i="65"/>
  <c r="AK25" i="65"/>
  <c r="L78" i="38"/>
  <c r="I45" i="65"/>
  <c r="L35" i="52"/>
  <c r="G43" i="65"/>
  <c r="AB43" i="65"/>
  <c r="H27" i="51"/>
  <c r="I27" i="51"/>
  <c r="I24" i="51"/>
  <c r="I95" i="51"/>
  <c r="L16" i="52"/>
  <c r="G23" i="65"/>
  <c r="AB23" i="65"/>
  <c r="I22" i="52"/>
  <c r="K17" i="61"/>
  <c r="R23" i="65"/>
  <c r="AM23" i="65"/>
  <c r="H23" i="61"/>
  <c r="J20" i="57"/>
  <c r="J70" i="57"/>
  <c r="AJ23" i="65"/>
  <c r="AJ234" i="65"/>
  <c r="U16" i="65"/>
  <c r="W16" i="65"/>
  <c r="AA16" i="65"/>
  <c r="J136" i="62"/>
  <c r="F63" i="65"/>
  <c r="K66" i="60"/>
  <c r="P63" i="65"/>
  <c r="AK63" i="65"/>
  <c r="E66" i="38"/>
  <c r="I66" i="38"/>
  <c r="H37" i="38"/>
  <c r="I37" i="38"/>
  <c r="I115" i="38"/>
  <c r="E101" i="38"/>
  <c r="I101" i="38"/>
  <c r="I97" i="38"/>
  <c r="AA36" i="65"/>
  <c r="L135" i="54"/>
  <c r="H83" i="65"/>
  <c r="L136" i="54"/>
  <c r="H84" i="65"/>
  <c r="AC130" i="65"/>
  <c r="U130" i="65"/>
  <c r="W130" i="65"/>
  <c r="I98" i="38"/>
  <c r="E102" i="38"/>
  <c r="I102" i="38"/>
  <c r="K20" i="50"/>
  <c r="M23" i="65"/>
  <c r="AH23" i="65"/>
  <c r="H25" i="50"/>
  <c r="O82" i="62"/>
  <c r="H102" i="54"/>
  <c r="I102" i="54"/>
  <c r="I101" i="54"/>
  <c r="L90" i="54"/>
  <c r="H59" i="65"/>
  <c r="L41" i="38"/>
  <c r="H34" i="38"/>
  <c r="I34" i="38"/>
  <c r="I36" i="65"/>
  <c r="AD36" i="65"/>
  <c r="AC81" i="65"/>
  <c r="U81" i="65"/>
  <c r="W81" i="65"/>
  <c r="AL234" i="65"/>
  <c r="D36" i="47"/>
  <c r="H36" i="47"/>
  <c r="H31" i="47"/>
  <c r="H44" i="47"/>
  <c r="H39" i="47"/>
  <c r="L43" i="52"/>
  <c r="G56" i="65"/>
  <c r="AB56" i="65"/>
  <c r="H56" i="52"/>
  <c r="I56" i="52"/>
  <c r="I55" i="52"/>
  <c r="I114" i="38"/>
  <c r="I107" i="38"/>
  <c r="E65" i="38"/>
  <c r="I65" i="38"/>
  <c r="I58" i="38"/>
  <c r="K53" i="50"/>
  <c r="M56" i="65"/>
  <c r="AH56" i="65"/>
  <c r="G64" i="50"/>
  <c r="H64" i="50"/>
  <c r="H63" i="50"/>
  <c r="J97" i="62"/>
  <c r="F26" i="65"/>
  <c r="H28" i="50"/>
  <c r="K29" i="50"/>
  <c r="AD18" i="65"/>
  <c r="AK234" i="65"/>
  <c r="AG234" i="65"/>
  <c r="K39" i="47"/>
  <c r="K56" i="65"/>
  <c r="AF56" i="65"/>
  <c r="G53" i="47"/>
  <c r="H53" i="47"/>
  <c r="H52" i="47"/>
  <c r="L24" i="51"/>
  <c r="N23" i="65"/>
  <c r="AI23" i="65"/>
  <c r="I30" i="51"/>
  <c r="L58" i="38"/>
  <c r="I43" i="65"/>
  <c r="AD43" i="65"/>
  <c r="L107" i="38"/>
  <c r="I56" i="65"/>
  <c r="K28" i="50"/>
  <c r="M28" i="65"/>
  <c r="AH28" i="65"/>
  <c r="U86" i="65"/>
  <c r="W86" i="65"/>
  <c r="AA86" i="65"/>
  <c r="K75" i="61"/>
  <c r="R63" i="65"/>
  <c r="AM63" i="65"/>
  <c r="L55" i="52"/>
  <c r="G63" i="65"/>
  <c r="AB63" i="65"/>
  <c r="L115" i="51"/>
  <c r="K115" i="51"/>
  <c r="N171" i="65"/>
  <c r="H79" i="50"/>
  <c r="K79" i="50"/>
  <c r="K74" i="50"/>
  <c r="M71" i="65"/>
  <c r="AH71" i="65"/>
  <c r="AC28" i="65"/>
  <c r="L101" i="54"/>
  <c r="H63" i="65"/>
  <c r="AC63" i="65"/>
  <c r="K25" i="50"/>
  <c r="M25" i="65"/>
  <c r="AH25" i="65"/>
  <c r="H133" i="51"/>
  <c r="I133" i="51"/>
  <c r="L95" i="51"/>
  <c r="N56" i="65"/>
  <c r="AI56" i="65"/>
  <c r="U45" i="65"/>
  <c r="W45" i="65"/>
  <c r="AD45" i="65"/>
  <c r="F23" i="65"/>
  <c r="J89" i="62"/>
  <c r="L21" i="54"/>
  <c r="H23" i="65"/>
  <c r="AC23" i="65"/>
  <c r="AC59" i="65"/>
  <c r="H170" i="38"/>
  <c r="I170" i="38"/>
  <c r="I169" i="38"/>
  <c r="L127" i="38"/>
  <c r="I59" i="65"/>
  <c r="AD59" i="65"/>
  <c r="K66" i="50"/>
  <c r="M66" i="65"/>
  <c r="L206" i="38"/>
  <c r="I80" i="65"/>
  <c r="L17" i="54"/>
  <c r="H25" i="65"/>
  <c r="AC25" i="65"/>
  <c r="AA26" i="65"/>
  <c r="U26" i="65"/>
  <c r="W26" i="65"/>
  <c r="K31" i="47"/>
  <c r="K43" i="65"/>
  <c r="AF43" i="65"/>
  <c r="AC84" i="65"/>
  <c r="U84" i="65"/>
  <c r="W84" i="65"/>
  <c r="U36" i="65"/>
  <c r="W36" i="65"/>
  <c r="AA63" i="65"/>
  <c r="L58" i="51"/>
  <c r="N43" i="65"/>
  <c r="AI43" i="65"/>
  <c r="K24" i="47"/>
  <c r="K25" i="65"/>
  <c r="AF25" i="65"/>
  <c r="I31" i="38"/>
  <c r="K63" i="50"/>
  <c r="M63" i="65"/>
  <c r="AH63" i="65"/>
  <c r="AC83" i="65"/>
  <c r="U83" i="65"/>
  <c r="W83" i="65"/>
  <c r="I96" i="38"/>
  <c r="K23" i="61"/>
  <c r="K80" i="61"/>
  <c r="R25" i="65"/>
  <c r="AM25" i="65"/>
  <c r="AM234" i="65"/>
  <c r="L22" i="52"/>
  <c r="G25" i="65"/>
  <c r="AA43" i="65"/>
  <c r="AD71" i="65"/>
  <c r="K94" i="50"/>
  <c r="L154" i="54"/>
  <c r="L71" i="52"/>
  <c r="U43" i="65"/>
  <c r="W43" i="65"/>
  <c r="U23" i="65"/>
  <c r="W23" i="65"/>
  <c r="AA23" i="65"/>
  <c r="AA234" i="65"/>
  <c r="U71" i="65"/>
  <c r="W71" i="65"/>
  <c r="AB25" i="65"/>
  <c r="AB234" i="65"/>
  <c r="U80" i="65"/>
  <c r="W80" i="65"/>
  <c r="AD80" i="65"/>
  <c r="L133" i="51"/>
  <c r="I132" i="51"/>
  <c r="K52" i="47"/>
  <c r="K58" i="47"/>
  <c r="K63" i="65"/>
  <c r="AF63" i="65"/>
  <c r="AF234" i="65"/>
  <c r="L96" i="38"/>
  <c r="I47" i="65"/>
  <c r="U59" i="65"/>
  <c r="W59" i="65"/>
  <c r="AD56" i="65"/>
  <c r="U56" i="65"/>
  <c r="W56" i="65"/>
  <c r="L30" i="51"/>
  <c r="N25" i="65"/>
  <c r="AI25" i="65"/>
  <c r="L31" i="38"/>
  <c r="I28" i="65"/>
  <c r="AC234" i="65"/>
  <c r="AH66" i="65"/>
  <c r="AH234" i="65"/>
  <c r="U66" i="65"/>
  <c r="W66" i="65"/>
  <c r="L169" i="38"/>
  <c r="I63" i="65"/>
  <c r="AD63" i="65"/>
  <c r="O83" i="62"/>
  <c r="J163" i="62"/>
  <c r="Q83" i="62"/>
  <c r="Q86" i="62"/>
  <c r="Q88" i="62"/>
  <c r="AI171" i="65"/>
  <c r="U171" i="65"/>
  <c r="W171" i="65"/>
  <c r="U25" i="65"/>
  <c r="W25" i="65"/>
  <c r="AD47" i="65"/>
  <c r="U47" i="65"/>
  <c r="W47" i="65"/>
  <c r="AD28" i="65"/>
  <c r="U28" i="65"/>
  <c r="W28" i="65"/>
  <c r="L223" i="38"/>
  <c r="L132" i="51"/>
  <c r="L137" i="51"/>
  <c r="N63" i="65"/>
  <c r="AI63" i="65"/>
  <c r="AI234" i="65"/>
  <c r="AD234" i="65"/>
  <c r="U63" i="65"/>
  <c r="W63" i="65"/>
  <c r="W234" i="65"/>
</calcChain>
</file>

<file path=xl/sharedStrings.xml><?xml version="1.0" encoding="utf-8"?>
<sst xmlns="http://schemas.openxmlformats.org/spreadsheetml/2006/main" count="2541" uniqueCount="522">
  <si>
    <t xml:space="preserve">Sr. No. </t>
  </si>
  <si>
    <t>Parking ( two wheeler &amp; four wheeler)</t>
  </si>
  <si>
    <t xml:space="preserve">Gas Tank Storage </t>
  </si>
  <si>
    <t>Fuel yard (50 kl x 3 nos)</t>
  </si>
  <si>
    <t xml:space="preserve"> Pipe Racks (Civil foundation only )</t>
  </si>
  <si>
    <t xml:space="preserve">Boiler Equipment Foundation </t>
  </si>
  <si>
    <t>Weigh bridge ( Civil work )</t>
  </si>
  <si>
    <t xml:space="preserve">Weigh Bridge cabin </t>
  </si>
  <si>
    <t>HT yard (civil work )</t>
  </si>
  <si>
    <t>Street light pole foundations</t>
  </si>
  <si>
    <t>Fire hydrant line pedestals (civil)</t>
  </si>
  <si>
    <t xml:space="preserve">Allied infrastructure finishing work/ misc. Foundation work </t>
  </si>
  <si>
    <t>PROJECT NO. - 626</t>
  </si>
  <si>
    <t xml:space="preserve">KARNATAKA ANTIBIOTICS &amp; PHARMACEUTICALS LIMITED, BANGALURU.
 RELEASE FOR :  TENDER  </t>
  </si>
  <si>
    <t>Date: 29.09.23
Rev No: V.04</t>
  </si>
  <si>
    <t>BOQ PHASE- III</t>
  </si>
  <si>
    <t>S.NO</t>
  </si>
  <si>
    <t>SOR ITEM NO.</t>
  </si>
  <si>
    <t>DESCRIPTION OF ITEM</t>
  </si>
  <si>
    <t>UNIT</t>
  </si>
  <si>
    <t>ALLIED INFRASTRUCTURE/FINISHING WORK</t>
  </si>
  <si>
    <t>CONCRETE WALL WITH STONE PITCHING</t>
  </si>
  <si>
    <t>WEIGH BRIDGE</t>
  </si>
  <si>
    <t>WEIGH BRIDGE CABIN</t>
  </si>
  <si>
    <t>COOLING TOWER</t>
  </si>
  <si>
    <t>FUEL YARD</t>
  </si>
  <si>
    <t>PIPE RACK FOUNDATION</t>
  </si>
  <si>
    <t>GAS TANK STORAGE</t>
  </si>
  <si>
    <t>DG FOUNDATION</t>
  </si>
  <si>
    <t>CHIMNEY BOILER FOUNDATION</t>
  </si>
  <si>
    <t xml:space="preserve">HT YARD WITH CABLE TRENCH </t>
  </si>
  <si>
    <t xml:space="preserve">ELECTRICAL LINE FOUNDATION </t>
  </si>
  <si>
    <t xml:space="preserve">PARKING </t>
  </si>
  <si>
    <t>FIRE LINE</t>
  </si>
  <si>
    <t>PLOT BOUNDARY 103,104</t>
  </si>
  <si>
    <t xml:space="preserve">LIQUID STORAGE PLATFORM </t>
  </si>
  <si>
    <t>TOTAL QUANTITY</t>
  </si>
  <si>
    <t>SOR 
RATE</t>
  </si>
  <si>
    <t>AMOUNT</t>
  </si>
  <si>
    <t>PERCENTAGE</t>
  </si>
  <si>
    <t>PERCENTAGE IN WORS</t>
  </si>
  <si>
    <t>Earth work in excavation by mechanical means (Hydraulic excavator )/ manual means over areas exceeding ( 30cm in depth. 1.5m in width as well as 10 SQM on plan) including dressing of sides and ramming of bottom disposal of  excavated earth, lead upto 50m and lift upto 1.5m, disposed earth to be levelled and neatly dressed. (No extra lift is payable if work is done by mechanical means)</t>
  </si>
  <si>
    <t>All kinds of soil</t>
  </si>
  <si>
    <t>CMT</t>
  </si>
  <si>
    <t>Earth work in excavation/ by mechanical means (Hydraulic Excavator)/ manual means over areas exceeding ( 30 cm in depth, 1.5m in width as well as 10 SQM on plan) including dressing of sides and ramming of bottom disposal of excavated earth, lead upto 50 m and lift upto 1.5 m, disposed earth to be levelled and neatly dressed.</t>
  </si>
  <si>
    <t>2.7.1</t>
  </si>
  <si>
    <t xml:space="preserve">Ordinary rock/Soft Rock </t>
  </si>
  <si>
    <t>Extra for every additional lift of 1.5 m or part there of in excation /banking excavted or stacked maiterial .</t>
  </si>
  <si>
    <t>2.26.1</t>
  </si>
  <si>
    <t xml:space="preserve">All Kind of soil </t>
  </si>
  <si>
    <t>Cum</t>
  </si>
  <si>
    <t>2.26.2</t>
  </si>
  <si>
    <t xml:space="preserve">Ordinary rock or hard rock </t>
  </si>
  <si>
    <t>Excavating trenches of required width for pipes, cables, etc  including excavation for sockets, and dressing of sides, ramming of bottoms, depth upto 1.5  m including getting out  the excavated soil, and then returning the soil as required, in  layers not exceeding 20 cm in depth including consolidating EACH deposited layer by ramming, watering, etc. and disposing of surplus excavated soil as directed, within a lead of 50 m : (No extra lift is payable if work is done by mechanical means)</t>
  </si>
  <si>
    <t>2.13.1.2</t>
  </si>
  <si>
    <t>Pipes, cables etc. exceeding 80 mm dia but not exceeding 300 mm.</t>
  </si>
  <si>
    <t>METER</t>
  </si>
  <si>
    <t>2.13.1.3</t>
  </si>
  <si>
    <t>Pipes, cables etc. exceeding 300 mm dia but not exceeding 600 mm.</t>
  </si>
  <si>
    <t>Filling available excavated earth(excluding hard rock/Ordinary rock) in trenches, plinth, sides of foundations etc. in layers not exceeding 20cm in depth, consolidating EACH deposited layer by ramming and watering, lead up to 50 m and lift upto 1.5 m.</t>
  </si>
  <si>
    <t>CMT.</t>
  </si>
  <si>
    <t xml:space="preserve">Transportation By Mechanical Transport including loading, unloading and stacking including all rentals ,royalties and taxes etc 
Upto 5 KMS. Location identify by contractor </t>
  </si>
  <si>
    <t>1.1.2</t>
  </si>
  <si>
    <t xml:space="preserve">Earth /debris. </t>
  </si>
  <si>
    <t>1.1.4</t>
  </si>
  <si>
    <t>Excavated Rock</t>
  </si>
  <si>
    <t>MOORUM</t>
  </si>
  <si>
    <t>Fine Sand</t>
  </si>
  <si>
    <t xml:space="preserve">Coarse sand (zone III) </t>
  </si>
  <si>
    <t>Anti-termite pipe system</t>
  </si>
  <si>
    <t>NON-SOR</t>
  </si>
  <si>
    <t xml:space="preserve">Providing pre ­ construction `Anti-termite treatment' of building including foundation trenches as per IS specifications (vide IS:6313 Part II of 1981) through specified firms dealing with pest control work (approved by consultants) giving ten years service guarantee. Pressure pump shall be used to carry out spraying and injecting operations to facilitate proper penetration of chemicals into the soil. (The area of treatment shall be building size + 1 Meter all around the periphery of the building &amp; the measurement certified shall be only plinth area of the building).It should be start from from foundation level. </t>
  </si>
  <si>
    <t>Anti-termite chemical injected area</t>
  </si>
  <si>
    <t>SQM</t>
  </si>
  <si>
    <t xml:space="preserve">Providing and laying in position cement concrete of specified grade excluding the cost of centering and shuttering - All work up to plinth level : </t>
  </si>
  <si>
    <t>4.1.5</t>
  </si>
  <si>
    <t xml:space="preserve">1:3:6 (1 Cement : 3 coarse sand (zone-III) derived from naturalsources : 6 graded stone aggregate 20 mm nominal size derived from natural sources) icluding line ,level ,curing etc </t>
  </si>
  <si>
    <t>Providing, laying, spreading and compacting graded stone aggregate (size range 53 mm to 0.075 mm ) to wet mix macadam (WMM) specification including premixing the material with water at OMC in for all leads &amp; lifts, laying in uniform layers with mechanical paverfinisher in sub- base / base course on well prepared surface and compacting with vibratory roller of 8 to 10 tonne capacity to achievethe desired density, complete as per specifications and directions of Engineer-in-Charge.</t>
  </si>
  <si>
    <t>NONO- SOR</t>
  </si>
  <si>
    <t>Providing and spreading 40 mm down metal in layer of 75 mm thickness</t>
  </si>
  <si>
    <t>Centering and shuttering including strutting, propping etc. and removal of form for ;</t>
  </si>
  <si>
    <t>5.9.1</t>
  </si>
  <si>
    <t>Foundations, footings, bases of columns, etc. for  concrete M.S.plates with high quality shutterig oil (For concrete surface which is either hidden from view or is specified to be separately finished with plaster)</t>
  </si>
  <si>
    <t>5.9.2</t>
  </si>
  <si>
    <t>Walls (any thickness) including attached pilasters butteresses, plinth beams and string courses etc.With plywood  (formwork required for concrete surfaces which may show some joint mark which should not be objectional and is presentable without any further treatment) using good quality water proof ply &amp; high quality shuttering oil.Ply thickness will be 12 mm only .</t>
  </si>
  <si>
    <t>5.9.3</t>
  </si>
  <si>
    <t>Suspended floors, roofs, landings, balconies and access platform.With plywood  (formwork required for concrete surfaces which may show some joint mark which should not be objectional and is presentable without any further treatment) using good quality water proof ply &amp; high quality shuttering oil.Ply thickness will be 12 mm only .</t>
  </si>
  <si>
    <t>5.9.5</t>
  </si>
  <si>
    <t>Lintels, beams, girders, bressumers and cantilevers.With plywood  (formwork required for concrete surfaces which may show some joint mark which should not be objectional and is presentable without any further treatment) using good quality water proof ply &amp; high quality shuttering oil.Ply thickness will be 12 mm only .</t>
  </si>
  <si>
    <t>5.9.6</t>
  </si>
  <si>
    <t>Columns, Pillars, Piers, Abutments, Posts and Struts.With plywood  (formwork required for concrete surfaces which may show some joint mark which should not be objectional and is presentable without any further treatment) using good quality water proof ply &amp; high quality shuttering oil.Ply thickness will be 12 mm only .</t>
  </si>
  <si>
    <t>5.9.7</t>
  </si>
  <si>
    <t>Stairs, (excluding landings) except spiral Staircases.With plywood  (formwork required for concrete surfaces which may show some joint mark which should not be objectional and is presentable without any further treatment) using good quality water proof ply &amp; high quality shuttering oil.Ply thickness will be 12 mm only .</t>
  </si>
  <si>
    <r>
      <t>Providing and laying in position ready mixed or site batched design
mix cement concrete for plain cement concrete work; using coarse
aggregate and fine aggregate derived from natural sources, Portland
Pozzolana/Ordinary Portland /Portland Slag cement, admixtures in
recommended proportions as per IS: 9103 to accelerate / retard setting of concrete, to improve durability and workability without impairing strength; including pumping of concrete to site of laying, curing, carriage for all leads; but excluding the cost of centering, shuttering and finishing as per direction of the engineer-in-charge; for the following grades of concrete.
Note</t>
    </r>
    <r>
      <rPr>
        <b/>
        <sz val="14"/>
        <color rgb="FF000000"/>
        <rFont val="Cambria"/>
        <family val="1"/>
      </rPr>
      <t>:</t>
    </r>
    <r>
      <rPr>
        <sz val="14"/>
        <color rgb="FF000000"/>
        <rFont val="Cambria"/>
        <family val="1"/>
      </rPr>
      <t xml:space="preserve"> Extra cement up to 10% of the minimum specified cement content in design mix shall be payable separately. In case the cement content in design mix is more than 110% of the minimum specified cement content, the contractor shall have discretion to either re-design the mix or bear the cost of extra cement.</t>
    </r>
  </si>
  <si>
    <t xml:space="preserve">4.20.1 </t>
  </si>
  <si>
    <t>All works upto plinth level :</t>
  </si>
  <si>
    <t>4.20.1.3</t>
  </si>
  <si>
    <t>Concrete of M20 grade with minimum cement
content of 270 kg /cum</t>
  </si>
  <si>
    <t>Cum.</t>
  </si>
  <si>
    <t>Providing and laying in position ready mixed or site batched design mix cement concrete for reinforced cement concrete work; using coarse aggregate and fine aggregate derived from natural sources, Portland Pozzolana / Ordinary Portland /Portland Slag cement, admixtures in recommended proportions as per IS: 9103 to accelerate / retard setting of concrete, to improve durability and workability without impairing strength; including pumping of concrete to site of laying, curing, carriage for all leads; but excluding the cost of centering, shuttering, finishing and reinforcement as per direction of the engineer-in-charge; for the following grades of concrete</t>
  </si>
  <si>
    <t>5.33.1</t>
  </si>
  <si>
    <t>All works upto plinth level</t>
  </si>
  <si>
    <t>5.33.1.1</t>
  </si>
  <si>
    <t xml:space="preserve">Concrete of M25 grade with minimum cement content of 330 kg /cum </t>
  </si>
  <si>
    <t>5.33.1.2</t>
  </si>
  <si>
    <t>Concrete of M30 grade with minimum cement content of 350 kg /cum</t>
  </si>
  <si>
    <t>5.33.2</t>
  </si>
  <si>
    <t>All works above plinth level and upto floor V level.</t>
  </si>
  <si>
    <t>5.33.2.1</t>
  </si>
  <si>
    <t>5.33.2.2</t>
  </si>
  <si>
    <t>5.22.6</t>
  </si>
  <si>
    <t>Thermo-Mechanically Treated bars.(TMT/TMX) FE 500 D or more conforming to IS 1786</t>
  </si>
  <si>
    <t>KG</t>
  </si>
  <si>
    <t>5.22A</t>
  </si>
  <si>
    <t>5.22A.6</t>
  </si>
  <si>
    <t>Providing and fixing up to floor five level precast cement concrete solid block, including hoisting and setting in position with cement mortar 1:3 (1 cement : 3 coarse sand), cost of required centering, shuttering, curing complete :size of block : 200 mm</t>
  </si>
  <si>
    <t>4.7.1</t>
  </si>
  <si>
    <t xml:space="preserve">1:1½:3 (1 Cement: 1½ coarse sand(zone-III) derived from natural sources : 3 graded stone aggregate 20 mm nominal size derived from natural sources). </t>
  </si>
  <si>
    <t>Half brick masonry with common burnt clay F.P.S. (non modular) bricks of class designation 7.5 in superstructure above plinth level up to floor V level.</t>
  </si>
  <si>
    <t>6.13.2</t>
  </si>
  <si>
    <t xml:space="preserve">Cement mortar 1:4 (1 cement :4 coarse sand) </t>
  </si>
  <si>
    <t xml:space="preserve">Providing and rendering 12mm. thick smooth cement plaster in CM 1:4 on internal masonary work  or concrete surfaces in plumb using fine sand but without using extra cement at all heights including scaffolding, racking of joints, finishing smooth with fine sand to correct level, line, plumb including curring, moulding, grooves in plaster where ever to different materials meet or as per drawing (Rate shall include finishing the edges of electrical boxes, fittings or inserts fixed by other agencies. </t>
  </si>
  <si>
    <t>12 mm cement plaster of mix :</t>
  </si>
  <si>
    <t>13.1.1</t>
  </si>
  <si>
    <t>1:4 (1 cement : 4 sand)</t>
  </si>
  <si>
    <r>
      <t>Providing and rendering 20mm. thick smooth cement plaster in two coats in CM 1:4 on internal masonary work in plumb using fine sand but without using extra cement at all heights</t>
    </r>
    <r>
      <rPr>
        <b/>
        <sz val="16"/>
        <color theme="1"/>
        <rFont val="Bookman Old Style"/>
        <family val="1"/>
      </rPr>
      <t xml:space="preserve"> </t>
    </r>
    <r>
      <rPr>
        <sz val="16"/>
        <color theme="1"/>
        <rFont val="Bookman Old Style"/>
        <family val="1"/>
      </rPr>
      <t>including scaffolding</t>
    </r>
    <r>
      <rPr>
        <b/>
        <sz val="16"/>
        <color theme="1"/>
        <rFont val="Bookman Old Style"/>
        <family val="1"/>
      </rPr>
      <t>,</t>
    </r>
    <r>
      <rPr>
        <sz val="16"/>
        <color theme="1"/>
        <rFont val="Bookman Old Style"/>
        <family val="1"/>
      </rPr>
      <t xml:space="preserve"> hacking joints, finishing smooth with fine sand  to correct level, line, plumb including curring, moulding,grooves in plaster where ever to different materials meet or as per drawing</t>
    </r>
  </si>
  <si>
    <t>20 mm cement plaster of mix</t>
  </si>
  <si>
    <t>13.3.1</t>
  </si>
  <si>
    <t>Finishing walls with Premium Acrylic Smooth exterior paint with Silicone additives of required shade:</t>
  </si>
  <si>
    <t>13.47.1</t>
  </si>
  <si>
    <t xml:space="preserve">New work (Two or more coats applied @ 1.43 ltr/10 sqm
over and including priming coat of exterior primer applied
@ 2.20 kg/10 sqm) </t>
  </si>
  <si>
    <t>Distempering with oil bound washable distemper of approved brand and manufacture to give an even shade :</t>
  </si>
  <si>
    <t>13.41.1</t>
  </si>
  <si>
    <t xml:space="preserve">New work (two or more coats) over and including water
thinnable priming coat with cement primer </t>
  </si>
  <si>
    <t>13.48A</t>
  </si>
  <si>
    <t>VOC less than 50 gm/litre and UV resistance as per IS 15489:2004, Alkali &amp; fungal resistance, dirt resistance exterior paint of required shade (Company Depot Tinted) with silicon additives.</t>
  </si>
  <si>
    <t>13.48A.1</t>
  </si>
  <si>
    <t xml:space="preserve">New work (Two or more coats applied @ 1.43 litre/ 10 sqm. Over and including priming coat of exterior primer applied @ 0.90 litre/10 sqm. </t>
  </si>
  <si>
    <t xml:space="preserve">NON SOR </t>
  </si>
  <si>
    <t>Providing &amp; appliying one coat of primer in interior wall .</t>
  </si>
  <si>
    <t>Wall painting with acrylic emulsion paint of approved brand and manufacture to give an even shade :</t>
  </si>
  <si>
    <t>13.60.1</t>
  </si>
  <si>
    <t>Two or more coats on new work</t>
  </si>
  <si>
    <t xml:space="preserve">Providing and applying white cement based putty of average thickness 1 mm, of approved brand and manufacturer, over the plastered wall surface to prepare the surface even and smooth complete. </t>
  </si>
  <si>
    <t>Providing and Placing in position suitable PVC water stops conforming to IS:12200 for construction/ expansion joints between two RCC members and fixed to the reinforcement with binding wire before
pouring concrete etc. complete :</t>
  </si>
  <si>
    <t>22.4.1</t>
  </si>
  <si>
    <t>Serrated with central bulb (225 mm wide, 8-11 mm thick)</t>
  </si>
  <si>
    <t>MTR</t>
  </si>
  <si>
    <t>Providing and injecting approved grout in proportion recommended by the manufacturer into cracks/honey-comb area of concrete/ masonry by suitable gun/pump at required pressure including cutting of nipples after curing etc. complete as per directions of Engineer-in Charge
(The payment shall be made on the basis of actual weight of approved grout injected.)</t>
  </si>
  <si>
    <t>26.35.3</t>
  </si>
  <si>
    <t>Epoxy injection grout in concrete/RCC work of approved make</t>
  </si>
  <si>
    <t xml:space="preserve">Providing and supplying Dry stone pitching 22.5 cm thick laid in courses and required profile with hammer dressed stones having no side less than 15 cm, with minimum depth of 20 cm including preparing the bedding surface
etc. all complete. </t>
  </si>
  <si>
    <t>Dry stone pitching 22.5 cm thick including supply of stones and preparing surface complete</t>
  </si>
  <si>
    <t>Supplying and fixing Kota stone slab flooring over 20 mm (average) thick base laid over and jointed with grey cement slurry mixed with pigment to match the shade of the slab, including rubbing and polishing complete with base of cement mortar 1 : 4 (1 cement : 4 coarse sand) :</t>
  </si>
  <si>
    <t>11.26.1</t>
  </si>
  <si>
    <t>25 mm thick</t>
  </si>
  <si>
    <t xml:space="preserve">Supplying and fixing Kota stone slabs 20 mm thick in risers of steps, skirting, dado and pillars laid on 12 mm (average) thick cement mortar 1:3 (1 cement: 3 coarse sand) and jointed with grey cement slurry mixed with pigment to match the shade of the slabs, including rubbing and polishing complete. </t>
  </si>
  <si>
    <t xml:space="preserve">Providing and laying Polished Granite stone flooring in required design and patterns, in linear as well as curvilinear portions of the building all complete as per the architectural drawings with 18 mm thick stone slab over 20 mm (average) thick base of cement mortar 1:4 (1 cement : 4 coarse sand) laid and jointed with cement slurry and pointing with white cement slurry admixed with pigment of matching shade including rubbing, curing and polishing etc. all complete as specified and as directed by the Engineer-in-Charge.
</t>
  </si>
  <si>
    <t>11.56.1</t>
  </si>
  <si>
    <t>Polished Granite stone slab colour of Black, Cherry/Ruby
Red or equivalent</t>
  </si>
  <si>
    <t>Cement concrete flooring 1:2:4 (1 cement : 2 coarse sand : 4 graded stone aggregate) finished with a floating coat of neat cement, including curing , cement slurry, but excluding the cost of nosing of steps etc. complete.</t>
  </si>
  <si>
    <t>11.3.1</t>
  </si>
  <si>
    <t xml:space="preserve">40 mm thick with 20 mm nominal size stone aggregate </t>
  </si>
  <si>
    <t xml:space="preserve">62 mm thick cement concrete flooring with concrete hardener topping, under layer 50 mm thick cement concrete 1:2:4 (1 cement : 2 coarse sand : 4 graded stone aggregate 20mm nominal size) and top layer 12mm thick cement hardener consisting of mix 1:2 (1 cement hardener mix : 2 graded stone aggregate, 6mm nominal size) by volume, hardening compound mixed @ 2 litre per 50 kg of cement or as per manufacture’s specifications. This includes cost of cement slurry, but excluding the cost of nosing of steps etc. complete. </t>
  </si>
  <si>
    <t>Add for plaster drip course/ groove in plastered surface or moulding to R.C.C. projections.</t>
  </si>
  <si>
    <t>Providing and laying Vitrified tiles in different sizes (thickness to be specified by manufacturer), with water absorption less than 0.08 % and conforming to I.S. 15622, of approved make, in all colours &amp; shade, in skirting, riser of steps, over 12 mm thick bed of cement mortar 1:3 (1
cement: 3 coarse sand), jointing with grey cement slurry @ 3.3 kg/ sqm including grouting the joint with white cement &amp; matching pigments etc. complete.</t>
  </si>
  <si>
    <t>11.46.2</t>
  </si>
  <si>
    <t>Size of Tile 600x600 mm</t>
  </si>
  <si>
    <t xml:space="preserve">Providing and fixing Ist quality ceramic glazed wall tiles conforming to IS: 15622 (thickness to be specified by the manufacturer), of approved make, in all colours, shades except burgundy, bottle green, black of any size as approved by Engineer-in-Charge, in skirting, risers of steps and dados, over 12 mm thick bed of cement mortar 1:3 (1 cement : 3 coarse sand) and jointing with grey cement slurry @ 3.3kg per sqm, including pointing in white cement mixed with pigment of matching shade complete. </t>
  </si>
  <si>
    <t>Providing and laying 4.5mm thick PU flooring including screed (Flow crete, U-crete BASF, Sika, Fosrock/ BERGER or equivalent)</t>
  </si>
  <si>
    <t xml:space="preserve">Providing and laying 250 micron PU Coating in Floor </t>
  </si>
  <si>
    <t xml:space="preserve">Epoxy coving made with epoxy mortar with resin , hardener &amp;  talc powder  to give smooth finish to epoxy coving with  high viscous paint.            </t>
  </si>
  <si>
    <t xml:space="preserve"> junction of floor to wall       </t>
  </si>
  <si>
    <t>R.mt</t>
  </si>
  <si>
    <t xml:space="preserve"> size upto 3" to 4" radius</t>
  </si>
  <si>
    <t xml:space="preserve"> 2.5" radius</t>
  </si>
  <si>
    <t xml:space="preserve"> pencil coving upto 1" radius</t>
  </si>
  <si>
    <t>Providing and applying anticorrosive epoxy/ FRP lining 1 mm Thick in Effluent Treatment Tank and in Manholes/ Inspection chambers of effluent drain lines.</t>
  </si>
  <si>
    <t>a)</t>
  </si>
  <si>
    <t>D-0 1800X2100mm</t>
  </si>
  <si>
    <t>Nos.</t>
  </si>
  <si>
    <t xml:space="preserve"> b)</t>
  </si>
  <si>
    <t>D-1 1500X2100 mm</t>
  </si>
  <si>
    <t>c)</t>
  </si>
  <si>
    <t>D-2 1200X2100 mm</t>
  </si>
  <si>
    <t>d)</t>
  </si>
  <si>
    <t>D-3 900X2100 mm</t>
  </si>
  <si>
    <t>e)</t>
  </si>
  <si>
    <t>D-4 750X2100 mm</t>
  </si>
  <si>
    <t>f)</t>
  </si>
  <si>
    <t>D-5 2000X2400 mm</t>
  </si>
  <si>
    <t>g)</t>
  </si>
  <si>
    <t>D-6 2400X3000 mm</t>
  </si>
  <si>
    <t>h)</t>
  </si>
  <si>
    <t>D-7 3000X3000 mm</t>
  </si>
  <si>
    <t>i)</t>
  </si>
  <si>
    <t>ED (EMERGENCY DOOR) 1500X2100 mm with panic Bar.</t>
  </si>
  <si>
    <t>NON SOR</t>
  </si>
  <si>
    <t xml:space="preserve">Providing  and  fixing  20 mm thick and 200/300 mm.wide mirror polished Kota Stone  slab at sill level below windows over 12 mm thick bed of  cement mortar (1:3). </t>
  </si>
  <si>
    <t>Rmt.</t>
  </si>
  <si>
    <t>Providing and fixing view panel / window/ ventilator   with 15 micron anodised heavy aluminium section  and  5mm thick clear single glass pane (float glass) as per drawing.</t>
  </si>
  <si>
    <t>Sqm</t>
  </si>
  <si>
    <t xml:space="preserve">Providing and laying water proofing treatment on roofs of slabs by
applying cement slurry mixed with water proofing cement compound
consisting of applying:
(a) after surface preparation, first layer of slurry of cement @
0.488 kg/sqm mixed with water proofing cement compound
@ 0.253 kg/sqm.
(b) laying second layer of Fibre glass cloth when the first layer is
still green. Overlaps of joints of fibre cloth should not be less
than 10 cm.
(c) third layer of 1.5 mm thickness consisting of slurry of cement
@ 1.289 kg/sqm mixed with water proofing cement compound
@ 0.670 kg/sqm and coarse sand @ 1.289 kg/sqm. This will
be allowed to air cure for 4 hours followed by water curing for
48 hours. The entire treatment will be taken upto 30 cm on
parapet wall and tucked into groove in parapet all around.
(d) fourth and final layer of brick tiling with cement mortar (which
will be paid for separately.
For the purpose of measurement the entire treated surface will be
measured. </t>
  </si>
  <si>
    <t xml:space="preserve"> Epoxy paint</t>
  </si>
  <si>
    <t xml:space="preserve"> litre </t>
  </si>
  <si>
    <t xml:space="preserve">Bolts and nuts up to 300 mm in length </t>
  </si>
  <si>
    <t>QUINTAL</t>
  </si>
  <si>
    <t>NON- SOR</t>
  </si>
  <si>
    <t>Supply, fabrication, Transport  and erection of structural Steel/Mild  Steel built-up sections for Pre Engineered steel building in column,  Rafter, Truss, floor joist, Wind Bracings, Tie Beam, foundation bolts,  Fasteners etc. including two coats of  Epoxy paint and one coat of prime.  These structural steel/built-up sections shall be manufactured using advanced CNC Plasma/Oxy Acetylene cutter and H Beam Welding line, Welding shall be in full depth on both sides of the plate adopting relevant I.S. Code, design of PEB Steel building to be proof checked by any NIT/IIT</t>
  </si>
  <si>
    <t>Providing &amp; grouting Anti shrink compound of  "SHRINKOMP30" or approved equivalent into the pockets &amp; the gaps between the concrete &amp; structural steel  or Providing &amp; laying non shrinking mix of  "SHRINKOMP30" or approved equivalent under the base plate of machine / steel columns including cleaning out the surfaces etc  as per manufacturers instructions / specifications, curing at all heights including scaffolding etc. complete.</t>
  </si>
  <si>
    <t>GP-2 cementeous compound</t>
  </si>
  <si>
    <t>KG.</t>
  </si>
  <si>
    <t>Providing and fixing precoated 
galvanised steel sheet roofing 
accessories 0.50 mm + 0.05 % total
coated thickness, Zinc coating 120gsm 
as per IS: 277 in 240 mpa steel grade, 
5-7 microns epoxy primer on both side 
of the sheet and polyester top coat 15-
18 microns using self-drilling/ self tapping screws complete</t>
  </si>
  <si>
    <t>Ridges plain (500 - 600mm).</t>
  </si>
  <si>
    <t>Flashings/ Aprons.( Upto 600 mm)</t>
  </si>
  <si>
    <t xml:space="preserve">Gutter. (600 mm over all girth) </t>
  </si>
  <si>
    <t>Providing &amp; fixing 0.60 mm. thick corrugated GI sheets color coated (Meta color/Track deck/Ispat/Cril) fixed with self drilling screws with washer, stich bolts, tapes at joint ,etc. complete.</t>
  </si>
  <si>
    <t>providing &amp; fixing of Y-shaped angle iron post 50x50x6, 2 m long angle post  @ 3.0 m c/c  in boundary at site including all necessory, labour, tools &amp; tackles, scaffolding with one coat of primer and 2 coat of synthetic enamel paint.etc complete.</t>
  </si>
  <si>
    <t>Kg</t>
  </si>
  <si>
    <r>
      <t>Providing and fixing concertina coil fencing with punched tape
concertina coil 600 mm dia 10 metre openable length ( total length
90 m), having 50 nos rounds per 6 metre length, upto 3 m height of
wall with existing angle iron 'Y' shaped placed 2.4m or 3.00 m apart
and with 9 horizontal R.B.T. reinforced barbed wire, stud tied with
G.I. staples and G.I. clips to retain horizontal, including necessary
bolts or G.I. barbed wire tied to angle iron, all complete as per direction
of Engineer-in-charge, with reinforced barbed tape(R.B.T.) / Spring
core (2.5mm thick) wire of high tensile strength of 165 kg/ sq.mm
with tape (0.52 mm thick) and weight 43.478 gm/ metre (cost of
M.S. angle, C.C. blocks shall be paid separately)</t>
    </r>
    <r>
      <rPr>
        <sz val="14"/>
        <color rgb="FFFF0000"/>
        <rFont val="Cambria"/>
        <family val="1"/>
      </rPr>
      <t xml:space="preserve"> </t>
    </r>
  </si>
  <si>
    <t>Providing and fixing G.I. chain link fabric fencing of required width in mesh size 50x50 mm including strengthening with 2 mm dia wire or nuts, bolts and washers as required complete as per the direction of Engineer-in-charge.</t>
  </si>
  <si>
    <t>16.70.1</t>
  </si>
  <si>
    <t xml:space="preserve">Made of G.I. wire of dia. 4 mm, </t>
  </si>
  <si>
    <t>16.70.2</t>
  </si>
  <si>
    <t>Made of G.I. wire of dia. 4 mm, PVC coated to achieve
outer dia not less than 5 mm in required colour and shade</t>
  </si>
  <si>
    <t>Providing, Fabricating &amp; fixing of M.S. structure made up of square/round pipes of different dia. Including bottom rail,wheels, top guide rail etc complete in line &amp; level with one coat of primer and 2 coat of synthetic enamel paint.</t>
  </si>
  <si>
    <t>(a)</t>
  </si>
  <si>
    <t>Do but with sliding MS gate of required size including wicket gate (Gandhi automation or equivalent).</t>
  </si>
  <si>
    <t>Sqm.</t>
  </si>
  <si>
    <t xml:space="preserve">Providing Fabricating &amp; fixing of G.I. chain linked fencing sliding gate size  (4.5 x 2 m )made up of square/round pipes with 50x50x6 mm angle of different dia. etc complete in line &amp; level. As per attched drawing </t>
  </si>
  <si>
    <t xml:space="preserve">supplying and fixig steel work welded in built up sections/ framed work, including cutting, hoisting, fixing in position and applying a priming coat of approved steel primer using structural steel etc. as required.
</t>
  </si>
  <si>
    <t xml:space="preserve">10.25.1 </t>
  </si>
  <si>
    <t>In stringers, treads, landings etc. of stair cases, including
use of chequered plate wherever required, all complete</t>
  </si>
  <si>
    <t>10.25.2</t>
  </si>
  <si>
    <t>In gratings, frames, guard bar, ladder, railings, brackets,
gates and similar works</t>
  </si>
  <si>
    <t xml:space="preserve"> Providing and fixing Anchor Fastner - M10</t>
  </si>
  <si>
    <t>each</t>
  </si>
  <si>
    <t>Providing and laying factory made chamfered edge Cement Concrete
paver blocks in footpath, parks, lawns, drive ways or light traffic
parking etc, of required strength, thickness &amp; size/ shape, made by
table vibratory method using PU mould, laid in required colour &amp;
pattern over 50mm thick compacted bed of sand, compacting and
proper embedding/laying of inter locking paver blocks into the sand
bedding layer through vibratory compaction by using plate vibrator,
filling the joints with sand and cutting of paver blocks as per required
size and pattern, finishing and sweeping extra sand. complete all as
per direction of Engineer-in-Charge.</t>
  </si>
  <si>
    <t>16.91.1</t>
  </si>
  <si>
    <t>60mm thick cement concrete paver block of M-35 grade
with approved colour, design &amp; pattern.</t>
  </si>
  <si>
    <t>16.91.2</t>
  </si>
  <si>
    <t>80 mm thick C.C. paver block of M-30 grade with approved
color design and pattern</t>
  </si>
  <si>
    <t xml:space="preserve">Supplying and Finishing with Epoxy paint (two or more coats) at all locations prepared and applied as per manufacturer's specifications (Berger/ fosroc/ sikka) including appropriate priming coat, preparation of surface, etc. complete.
</t>
  </si>
  <si>
    <t>13.52.1</t>
  </si>
  <si>
    <t>On steel work</t>
  </si>
  <si>
    <t>Providing and fixing 14 guage barbed wire, fixed with U-Clamp in 5 rows, straight.</t>
  </si>
  <si>
    <t>rmt</t>
  </si>
  <si>
    <t>Same as above item no 1 but including removing and refixing of angle .</t>
  </si>
  <si>
    <t>Rmt</t>
  </si>
  <si>
    <t>Providing and fixing 25 X 5 M.S. plate welded diagonally in every alternate way.</t>
  </si>
  <si>
    <t>kg</t>
  </si>
  <si>
    <t>(b)</t>
  </si>
  <si>
    <t>Same as above item no 2 but including removing and refixing of angle .</t>
  </si>
  <si>
    <t xml:space="preserve">Providing and fixing 50 X 50 X 6 mm M.S. angle </t>
  </si>
  <si>
    <t>c</t>
  </si>
  <si>
    <t>Same as above item no 3 but including removing and refixing of angle .</t>
  </si>
  <si>
    <t>Providing and laying at or near ground level factory made kerb stone of M-25 grade cement concrete in position to the required line, level and curvature, jointed with cement mortar 1:3 (1 cement: 3 coarse sand), including making joints with or without grooves (thickness of joints except at sharp curve shall not to more than 5mm), including making drainage opening wherever required complete etc. as per direction of Engineer-in-charge (length of finished kerb edging shall be measured for payment). (Precast C.C. kerb stone shall be approved by Engineer-in-charge).</t>
  </si>
  <si>
    <t>CUM</t>
  </si>
  <si>
    <t>Painting road surface marking with adequate nos of coats to give uniform finish with ready mixed road marking paint conforming to IS : 164, on CONCRETE surface in white/yellow shade, including cleaning the surface of all dirt, scales, oil, grease and foreign material etc. complete</t>
  </si>
  <si>
    <t>16.48.1</t>
  </si>
  <si>
    <t>New Work (Two or more coats)</t>
  </si>
  <si>
    <t>Manufacturing, supplying and fixing retro reflective sign boards made up of 2 mm thick aluminium sheet, face to be fully covered with high intensity encapsulated type heat activated retro reflective sheeting conforming to type - IV of ASTM-D 4956-01 in blue and silver white or other colour combination including subject matter, message (bi lingual), symbols and borders etc. as per IRC ; 67:2001, pasted on substrate by an adhesive backing which shall be activated by applying heat and pressure conforming to class -2 of ASTM-D-4956-01 and fixing the same with suitable sized aluminium alloy rivets @ 20 cm c/c to back support frame of M.S. angle iron of size 25x25x3 mm along with theft resistant measures, mounted and fixed with 2 Nos. M.S. angles of size 35x35x5 mm to a vertical post made up to M.S. Tee section ISMT 50x50x6 mm welded with base plate of size 100x100x5 mm at the bottom end and including making holes in pipes, angles flats, providing &amp; fixing M.S. message plate of required size, steel work to be painted with two or more coats of synthetic enamel paint of required shade and of approved brand &amp; manufacture over priming coat of zinc chromate yellow primer (vertical MS-Tee support to be painted in black and white colours).Backside of aluminium sheet to be painted with two or more coats of epoxy paint over and including appropriate priming coat including all leads and lifts etc. complete as per drawing , specification and direction of Engineer-in-charge.</t>
  </si>
  <si>
    <t>16.59.1</t>
  </si>
  <si>
    <t>Mandatory/ Regulatory sign boards of 900 mm diametre with support length of 3750 mm</t>
  </si>
  <si>
    <t>EACH</t>
  </si>
  <si>
    <t>16.59.2</t>
  </si>
  <si>
    <t>Cautionary /warning sign boards of equilateral triangular shape having each side of 900 mm with support length of 3650 mm</t>
  </si>
  <si>
    <t>Providing and fixing hand rail of approved size by welding etc. to steel
ladder railing, balcony railing, staircase railing and similar works,
including applying priming coat of approved steel primer.</t>
  </si>
  <si>
    <t>10.26.1</t>
  </si>
  <si>
    <t>M.S. tube</t>
  </si>
  <si>
    <t xml:space="preserve"> NON SOR </t>
  </si>
  <si>
    <t>Providing &amp; fixing PVC pipe sleeves 300mm long for services in RCC at locations marked in the drawing or as per instructions of engineer incharge.</t>
  </si>
  <si>
    <t xml:space="preserve">         a)</t>
  </si>
  <si>
    <t>Up to 75 mm dia.</t>
  </si>
  <si>
    <t xml:space="preserve">Supply and fixing Anchor Bolts with required threads as per engineer incharge up to 300 mm to 1200 mm  in length </t>
  </si>
  <si>
    <t xml:space="preserve">same as above only fixing </t>
  </si>
  <si>
    <t>Demolishing R.C.C. work manually/ by mechanical means including
stacking of steel bars and disposal of unserviceable material within
50 metres lead as per direction of Engineer - in- charge.</t>
  </si>
  <si>
    <t>Providing and applying 2.5 mm thick road marking strips (retro reflective) of specified shade/ colour using hot thermoplastic material
by fully/ semi automatic thermoplastic paint applicator machine fitted
with profile shoe, glass beads dispenser, propane tank heater and
profile shoe heater, driven by experienced operator on road surface
including cost of material, labour, T&amp;P, cleaning the road surface of
all dirt, seals, oil, grease and foreign material etc. complete as per
direction of Engineer-in-charge and accordance with applicable
specifications</t>
  </si>
  <si>
    <t>sqm</t>
  </si>
  <si>
    <t>Providing and fixing Glow studs of size 100x20 mm made of heavy
duty body shall be moulded ASA (Acrylic styrene Acryloretrite ) or
HIP (High impact polystyrene) or ABS having electronically welded
micro- prismatic lens with abrasion resistant coating as approved by
Engineer in charge. The glow stud shall support a load of 13635 kg
tested in accordance with ASTM D4280. The slope of retro- reflective
surface shall be 35 (+/-5) degress to base .The reflective panels on
both sides with at least 12 cm of reflective area up each side. The
luminance intensity should be as per the specification and shall be
tested as described in ASTM I: 809 as recommended in BS: 873
part 4 : 1973. The studs shall be fixed to the Road surface using the
adhesive conforming to IS, as per procedure recommended by the
manufacturer complete and as per direction of Engineer-in-charge.</t>
  </si>
  <si>
    <t>Nos</t>
  </si>
  <si>
    <t xml:space="preserve">Providing and fixing 3M stud solar blinker LED light dimension 90 mm X 100 mm including all neccasry arrangement </t>
  </si>
  <si>
    <t>Providing and fixing 3M Breaker solar blinker LED light  including all neccasry arrangement .</t>
  </si>
  <si>
    <t>RMt</t>
  </si>
  <si>
    <t xml:space="preserve">Core cutting in RCC upto 250 mm thk </t>
  </si>
  <si>
    <t xml:space="preserve">75 mm dia </t>
  </si>
  <si>
    <t xml:space="preserve">100 mm dia </t>
  </si>
  <si>
    <t xml:space="preserve">150 mm dia </t>
  </si>
  <si>
    <t xml:space="preserve">200 mm dia </t>
  </si>
  <si>
    <t>Rebaring grouting (with hilty M/C) reinforcement dowels with epoxy chemicals</t>
  </si>
  <si>
    <t>25 mm Dia</t>
  </si>
  <si>
    <t>b)</t>
  </si>
  <si>
    <t>20 mm Dia</t>
  </si>
  <si>
    <t>16 mm Dia</t>
  </si>
  <si>
    <t>12 mm Dia</t>
  </si>
  <si>
    <t>10 mm Dia</t>
  </si>
  <si>
    <t>8 mm Dia</t>
  </si>
  <si>
    <t xml:space="preserve"> Fixing of anchor bolts of size 16mm to 32 mm dia  &amp;  up to 1500 mm  long with nuts etc. complete.</t>
  </si>
  <si>
    <t xml:space="preserve">supply and installation of metal W type beam crash barrier (G.i) size 330..x3mm &amp; 1 m height GI channel including all nesssasry fitting and all civil work etc complete </t>
  </si>
  <si>
    <t>Providing &amp; fixing 2 m x 1.5  m wide infometry sign board with paint  all nesssasry fitting and all civil work etc complete .</t>
  </si>
  <si>
    <t>TOTAL AMOUNT</t>
  </si>
  <si>
    <t xml:space="preserve">LIQUID STORAGE PLATEFORM </t>
  </si>
  <si>
    <t>L</t>
  </si>
  <si>
    <t>B</t>
  </si>
  <si>
    <t>H / D</t>
  </si>
  <si>
    <t>QUANTITY</t>
  </si>
  <si>
    <t>SRR RATE</t>
  </si>
  <si>
    <t xml:space="preserve">PLATE FORM </t>
  </si>
  <si>
    <r>
      <t>Brought from outside morrum  in foundation,plinth beams, trenches ,plinth including spreading, leveling, dressing , watering , ramming &amp;</t>
    </r>
    <r>
      <rPr>
        <b/>
        <sz val="16"/>
        <color rgb="FF000000"/>
        <rFont val="Cambria"/>
        <family val="1"/>
      </rPr>
      <t xml:space="preserve"> </t>
    </r>
    <r>
      <rPr>
        <sz val="16"/>
        <color rgb="FF000000"/>
        <rFont val="Cambria"/>
        <family val="1"/>
      </rPr>
      <t>compaction  well in layers of 300mm thikness  with vibro roller (hand compactor /manual compaction will be permitted only in pits/narrow areas where compation is not possible with vibro roller ) as specified with soil obtained from excavation so as to obtain min. 95 % field density of MDD.</t>
    </r>
  </si>
  <si>
    <t xml:space="preserve">TOTAL </t>
  </si>
  <si>
    <t xml:space="preserve">Foundations, footings, bases of columns, etc. for  concrete M.S.plates with high quality shutterig oil(For concrete surface which is either hidden from view or is specified to be separately finished with plaster)  </t>
  </si>
  <si>
    <t>80 mm thick C.C. paver block of M-30 grade with approved
color design and pattern.</t>
  </si>
  <si>
    <t xml:space="preserve">Providing and laying in position ready mixed or site batched design mix
cement concrete for reinforced cement concrete work; using coarse
aggregate and fine aggregate derived from natural sources, Portland
Pozzolana / Ordinary Portland /Portland Slag cement, admixtures in
recommended proportions as per IS: 9103 to accelerate / retard setting
of concrete, to improve durability and workability without impairing
strength; including pumping of concrete to site of laying, curing, carriage
for all leads; but excluding the cost of centering, shuttering, finishing
and reinforcement as per direction of the engineer-in-charge; for the
following grades of concrete.
</t>
  </si>
  <si>
    <t xml:space="preserve">Concrete of M25 grade with minimum cement
content of 330 kg /cum </t>
  </si>
  <si>
    <t xml:space="preserve">for platform </t>
  </si>
  <si>
    <t>Concrete of M30 grade with minimum cement
content of 350 kg /cum</t>
  </si>
  <si>
    <t xml:space="preserve">Steel reinforcement for R.C.C. work including straightening, cutting, bending, placing in position and binding all complete upto plinth level. (rate is including laps, chairs, spacers,  etc.)
</t>
  </si>
  <si>
    <t xml:space="preserve">Steel reinforcement for R.C.C. work including straightening, cutting, bending, placing in position and binding all complete above plinth level.  (rate is including laps, chairs, spacers,  etc.)
</t>
  </si>
  <si>
    <t>\</t>
  </si>
  <si>
    <t xml:space="preserve">Doshi Consultants </t>
  </si>
  <si>
    <t>CHAIN LINK FENCING 
KARNATAKA ANTIBIOTICS &amp; PHARMACEUTICALS LIMITED BANGALURU.
 RELEASE FOR :  TENDER  QUANTITY MAY BE VARY +/- 20%.</t>
  </si>
  <si>
    <t>Based on Drawing No.-3/626/KAPL/GEN/ST-11</t>
  </si>
  <si>
    <t>CHAIN LINK FENCING 300+100 RMT (plot no. 104)</t>
  </si>
  <si>
    <t>S.No.</t>
  </si>
  <si>
    <t>ITEM DESCRIPTION</t>
  </si>
  <si>
    <t>NOS.</t>
  </si>
  <si>
    <t>RATE</t>
  </si>
  <si>
    <t>RATE IN PERCENTAGE</t>
  </si>
  <si>
    <t>PERCENTAGE IN NUMBER</t>
  </si>
  <si>
    <t>Earth work in surface excavation not exceeding 30 cm in depth but
exceeding 1.5 m in width as well as 10 sqm on plan including getting
out and disposal of excavated earth upto 50 m and lift upto 1.5 m, as
directed by Engineer-in- Charge:</t>
  </si>
  <si>
    <t>2.1.1</t>
  </si>
  <si>
    <t>Foundation</t>
  </si>
  <si>
    <t xml:space="preserve">PCC FOOTING </t>
  </si>
  <si>
    <t xml:space="preserve">FOOTING </t>
  </si>
  <si>
    <t>Providing and fixing G.I. chain link fabric fencing of required width in
mesh size 50x50 mm including strengthening with 2 mm dia wire or
nuts, bolts and washers as required complete as per the direction of
Engineer-in-charge.</t>
  </si>
  <si>
    <t xml:space="preserve">Made of G.I. wire of dia 4 mm </t>
  </si>
  <si>
    <t>TOTAL</t>
  </si>
  <si>
    <t xml:space="preserve">DEDUCTION OF PCC </t>
  </si>
  <si>
    <t xml:space="preserve">DEDUCTION OF RCC FOOTING </t>
  </si>
  <si>
    <t xml:space="preserve">DEDUCTION OF RCC COLUMN UPTO NGL </t>
  </si>
  <si>
    <t xml:space="preserve">Suspended floors, roofs, landings, balconies 
and access platform.With plywood  (formwork required for concrete surfaces which may show some joint mark which should not be objectional and is presentable without any further treatment) using good quality water proof ply &amp; high quality shuttering oil.Ply thickness will be 12 mm only .
</t>
  </si>
  <si>
    <t xml:space="preserve">Stairs, (excluding landings) except spiral Staircases.With plywood  (formwork required for concrete surfaces which may show some joint mark which should not be objectional and is presentable without any further treatment) using good quality water proof ply &amp; high quality shuttering oil.Ply thickness will be 12 mm only .
</t>
  </si>
  <si>
    <t xml:space="preserve">F1FOOTING </t>
  </si>
  <si>
    <t xml:space="preserve">DEDUCTION OF COLUMN </t>
  </si>
  <si>
    <t xml:space="preserve">for car </t>
  </si>
  <si>
    <t xml:space="preserve">for bike </t>
  </si>
  <si>
    <t xml:space="preserve">ROAD </t>
  </si>
  <si>
    <t xml:space="preserve">PLINTH BEAM </t>
  </si>
  <si>
    <t>PEDESTRIAN COLUMN</t>
  </si>
  <si>
    <t xml:space="preserve"> FOOTING TOP TO NGL </t>
  </si>
  <si>
    <t xml:space="preserve">NGL TO FFL </t>
  </si>
  <si>
    <t xml:space="preserve">supplying and fixig steel work welded in built up sections/ framed work, including cutting,
hoisting, fixing in position and applying a priming coat of approved steel
primer using hollow steel section etc. as required. ( use 100/50  mm dia pipe )
</t>
  </si>
  <si>
    <t>Providing &amp; fixing 0.60 mm. thick corrugated GI sheets color coated (Meta color/Track deck/Ispat/Cril) fixed with self drilling screws with washer, stich bolts, tapes at joint ,etc. complete. (rates are inclusive of laps)</t>
  </si>
  <si>
    <t xml:space="preserve">KARNATAKA ANTIBIOTICS &amp; PHARMACEUTICALS LIMITED, BENGALURU.
 RELEASE FOR :  TENDER  
</t>
  </si>
  <si>
    <t xml:space="preserve">NO. </t>
  </si>
  <si>
    <t xml:space="preserve">LENGTH </t>
  </si>
  <si>
    <t xml:space="preserve">WIDTH </t>
  </si>
  <si>
    <t xml:space="preserve">D/H </t>
  </si>
  <si>
    <t xml:space="preserve">CABLE TRENCH TRENCH </t>
  </si>
  <si>
    <t xml:space="preserve">4 POLE FOUNDATION </t>
  </si>
  <si>
    <t xml:space="preserve">TRANS FORMER </t>
  </si>
  <si>
    <t xml:space="preserve">RCC CABLE TRENCH </t>
  </si>
  <si>
    <t xml:space="preserve"> Fine sand</t>
  </si>
  <si>
    <t>WALL</t>
  </si>
  <si>
    <t xml:space="preserve">1:1½:3 (1 Cement: 1½ coarse sand(zone-III) derived from
natural sources : 3 graded stone aggregate 20 mm nominal
size derived from natural sources). </t>
  </si>
  <si>
    <t xml:space="preserve">CHIMNEY </t>
  </si>
  <si>
    <t xml:space="preserve">INTERNAL TRENCH FOR BOILER 1200 MM WIDE </t>
  </si>
  <si>
    <t xml:space="preserve">INTERNAL TRENCH FOR BOILER 900 MM WIDE </t>
  </si>
  <si>
    <t xml:space="preserve">INTERNAL TRENCH FOR BOILER 700 MM WIDE </t>
  </si>
  <si>
    <t xml:space="preserve">INTERNAL TRENCH FOR BOILER 400 MM WIDE </t>
  </si>
  <si>
    <t xml:space="preserve">TPH BOILER FOUNDATION </t>
  </si>
  <si>
    <t xml:space="preserve">FOR OIL PUMP </t>
  </si>
  <si>
    <t xml:space="preserve">RING MAIN SYSTEM </t>
  </si>
  <si>
    <t xml:space="preserve">FOUNDATION FOR FD FAN </t>
  </si>
  <si>
    <t xml:space="preserve">WALL </t>
  </si>
  <si>
    <t xml:space="preserve">ANGLE </t>
  </si>
  <si>
    <t xml:space="preserve">DG FOUNDATION </t>
  </si>
  <si>
    <t>Providing and fixing up to floor five level precast cement concrete solid block, including hoisting and setting in position with cement mortar 1:3 (1 cement : 3 coarse sand), cost of required centering, shuttering, curing complete : size of block : 200 mm</t>
  </si>
  <si>
    <t xml:space="preserve"> </t>
  </si>
  <si>
    <t xml:space="preserve">OUTER PERIFERI </t>
  </si>
  <si>
    <t>Half brick masonry with common burnt clay F.P.S. (non modular) bricks
of class designation 7.5 in superstructure above plinth level up to floor
V level.</t>
  </si>
  <si>
    <t xml:space="preserve">RAFT </t>
  </si>
  <si>
    <t>9.48.2</t>
  </si>
  <si>
    <t xml:space="preserve">Fixed to openings /wooden frames with rawl plugs screws etc. </t>
  </si>
  <si>
    <t>NGL TO FGL</t>
  </si>
  <si>
    <t>BUILDING WORKS BOQ PHASE- III</t>
  </si>
  <si>
    <t>FUEL YARD (12m*35m)</t>
  </si>
  <si>
    <t xml:space="preserve">OIL TRAP </t>
  </si>
  <si>
    <t xml:space="preserve">FENCING COLUMN </t>
  </si>
  <si>
    <t xml:space="preserve">DEDUCTION OF FOUNDATION </t>
  </si>
  <si>
    <t xml:space="preserve">COPING </t>
  </si>
  <si>
    <t xml:space="preserve">COLUMN CONCRETE </t>
  </si>
  <si>
    <t xml:space="preserve">STEPS </t>
  </si>
  <si>
    <t xml:space="preserve">LANDING </t>
  </si>
  <si>
    <t xml:space="preserve">WAIST SLAB </t>
  </si>
  <si>
    <t xml:space="preserve">LANDING BEAM </t>
  </si>
  <si>
    <t xml:space="preserve">STEPS WALL </t>
  </si>
  <si>
    <t xml:space="preserve">COOLING TOWER </t>
  </si>
  <si>
    <t xml:space="preserve">COLUMN </t>
  </si>
  <si>
    <t xml:space="preserve">COLUMN 0.00 TO 2  M </t>
  </si>
  <si>
    <t xml:space="preserve">CONNECTING BEAM </t>
  </si>
  <si>
    <t xml:space="preserve">SLAB </t>
  </si>
  <si>
    <t xml:space="preserve">SUMP  wall </t>
  </si>
  <si>
    <t xml:space="preserve">BOTTOM </t>
  </si>
  <si>
    <t>VOC less than 50 gm/litre and UV resistance as per IS 15489:2004,
Alkali &amp; fungal resistance, dirt resistance exterior paint of required
shade (Company Depot Tinted) with silicon additives.</t>
  </si>
  <si>
    <t xml:space="preserve">New work (Two or more coats applied @ 1.43 litre/ 10
sqm. Over and including priming coat of exterior primer
applied @ 0.90 litre/10 sqm. </t>
  </si>
  <si>
    <t>Wall painting with acrylic emulsion paint of approved brand and
manufacture to give an even shade :</t>
  </si>
  <si>
    <t>Providing and laying Vitrified tiles in different sizes (thickness to be
specified by manufacturer), with water absorption less than 0.08 % and
conforming to I.S. 15622, of approved make, in all colours &amp; shade, in
skirting, riser of steps, over 12 mm thick bed of cement mortar 1:3 (1
cement: 3 coarse sand), jointing with grey cement slurry @ 3.3 kg/
sqm including grouting the joint with white cement &amp; matching pigments
etc. complete.</t>
  </si>
  <si>
    <t>WEIGH BRIDGE CABIN (3m*3m)</t>
  </si>
  <si>
    <t>GRADE SLAB PCC</t>
  </si>
  <si>
    <t xml:space="preserve">GRADE SLAB </t>
  </si>
  <si>
    <t xml:space="preserve">BEAM </t>
  </si>
  <si>
    <t xml:space="preserve">CHHAJJA </t>
  </si>
  <si>
    <t xml:space="preserve">DEDUCTION OF DOOR </t>
  </si>
  <si>
    <t>D3</t>
  </si>
  <si>
    <t>W</t>
  </si>
  <si>
    <r>
      <t>Providing and rendering 20mm. thick smooth cement plaster in two coats in CM 1:4 on internal masonary work in plumb using fine sand but without using extra cement at all heights</t>
    </r>
    <r>
      <rPr>
        <b/>
        <sz val="16"/>
        <color rgb="FF000000"/>
        <rFont val="Cambria"/>
        <family val="1"/>
      </rPr>
      <t xml:space="preserve"> </t>
    </r>
    <r>
      <rPr>
        <sz val="16"/>
        <color rgb="FF000000"/>
        <rFont val="Cambria"/>
        <family val="1"/>
      </rPr>
      <t>including scaffolding</t>
    </r>
    <r>
      <rPr>
        <b/>
        <sz val="16"/>
        <color rgb="FF000000"/>
        <rFont val="Cambria"/>
        <family val="1"/>
      </rPr>
      <t>,</t>
    </r>
    <r>
      <rPr>
        <sz val="16"/>
        <color rgb="FF000000"/>
        <rFont val="Cambria"/>
        <family val="1"/>
      </rPr>
      <t xml:space="preserve"> hacking joints, finishing smooth with fine sand  to correct level, line, plumb including curring, moulding,grooves in plaster where ever to different materials meet or as per drawing</t>
    </r>
  </si>
  <si>
    <t>Finishing walls with Premium Acrylic Smooth exterior paint with
Silicone additives of required shade:</t>
  </si>
  <si>
    <t xml:space="preserve">Providing and applying white cement based putty of average thickness
1 mm, of approved brand and manufacturer, over the plastered wall
surface to prepare the surface even and smooth complete. </t>
  </si>
  <si>
    <r>
      <t>Providing &amp; Fixing</t>
    </r>
    <r>
      <rPr>
        <b/>
        <sz val="16"/>
        <color rgb="FFFF0000"/>
        <rFont val="Calibri"/>
        <family val="2"/>
      </rPr>
      <t xml:space="preserve"> </t>
    </r>
    <r>
      <rPr>
        <sz val="16"/>
        <color rgb="FF000000"/>
        <rFont val="Calibri"/>
        <family val="2"/>
      </rPr>
      <t>45 mm thick GI flush door with frame having 1.2 mm GI sheet and rock wool 98 kg/m3 sandwiched sheet,  shutter of 1.0 mm thic GI sheet including 5 mm thick toughned glass both side for view panel and all fittings, fixtures and hardwares complete. (Make Shakti Hormann/ GMP or equivalent).</t>
    </r>
  </si>
  <si>
    <t xml:space="preserve">Weigh Bridge </t>
  </si>
  <si>
    <t xml:space="preserve">CHMABER </t>
  </si>
  <si>
    <t xml:space="preserve">PIT </t>
  </si>
  <si>
    <t xml:space="preserve">                     DATE:29.09.2023            Rev No: V-04</t>
  </si>
  <si>
    <t>ALLIED INFRASTRUCTRE FINISHING WORK</t>
  </si>
  <si>
    <t>PERCENTAGE IN WORDS</t>
  </si>
  <si>
    <t>PERCENTAGE IN NUMBERS</t>
  </si>
  <si>
    <t>REMARKS</t>
  </si>
  <si>
    <t>(FOR BOUNDARY WALL) Finishing walls with Premium Acrylic Smooth exterior paint with Silicone additives of required shade:</t>
  </si>
  <si>
    <t xml:space="preserve">add core cutting item </t>
  </si>
  <si>
    <t>Providing, laying, spreading and compacting graded stone aggregate
(size range 53 mm to 0.075 mm ) to wet mix macadam (WMM)
specification including premixing the material with water at OMC in
for all leads &amp; lifts, laying in uniform layers with mechanical
paverfinisher in sub- base / base course on well prepared surface
and compacting with vibratory roller of 8 to 10 tonne capacity to
achievethe desired density, complete as per specifications and
directions of Engineer-in-Charge.</t>
  </si>
  <si>
    <t>Painting road surface marking with adequate nos of coats to give
uniform finish with ready mixed road marking paint conforming to IS
: 164, on bituminous surface in white/yellow shade, including cleaning
the surface of all dirt, scales, oil, grease and foreign material etc.
complete ( FOR KERB STONE )</t>
  </si>
  <si>
    <t>New Work (Two or more coats) over kerb stone</t>
  </si>
  <si>
    <t>Sq.m.</t>
  </si>
  <si>
    <t>Steel work welded in built up sections/ framed work, including cutting,
hoisting, fixing in position and applying a priming coat of approved steel
primer using structural steel etc. as required.</t>
  </si>
  <si>
    <t xml:space="preserve">concrete wall with stone pitching </t>
  </si>
  <si>
    <t xml:space="preserve">ROAD SIDE </t>
  </si>
  <si>
    <t xml:space="preserve">DRAIN </t>
  </si>
  <si>
    <t xml:space="preserve">wall panel room periferi </t>
  </si>
  <si>
    <t>wall</t>
  </si>
  <si>
    <t xml:space="preserve">DRAIN WALL </t>
  </si>
  <si>
    <t xml:space="preserve">Providing and mixing integral crystalline admixture for water proofing treatment to RCC structures like basement raft, retaining walls, reservior, sewage &amp; water treatment plant, tunnels / subway and
bridge deck etc. at the time of transporting of concrete into the drum of the ready-mix truck , using integral crystalline admixture @0.80% (minimum) to the weight of cement content per cubic meter of
concrete) or higher as recommended by the manufacturer's specification in reinforced cement concrete at site of work. The material shall meet the requirements as specified in ACI-212-3R 2010 i.e. by reducing permeability of concrete by more than 90% compared with control concrete as per DIN 1048 and resistant to 16 bar hydrostatic pressure. The crystalline admixture shall be capable of self-healing of cracks up to a width of 0.50mm. The work shall be carried out all complete as per specification and the direction of the Engineer-in-charge. The product performance shall carry guarantee
for 10 years against any leakage. </t>
  </si>
  <si>
    <t>3KG/CUM</t>
  </si>
  <si>
    <t xml:space="preserve">CUTTING FILLING </t>
  </si>
  <si>
    <t>Earth work in excavation by mechanical means (Hydraulic excavator)/
manual means over areas (exceeding 30 cm in depth, 1.5 m in width as
well as 10 sqm on plan) including getting out and disposal of excavated
earth lead upto 50 m and lift upto 1.5 m, as directed by Engineer-in charge.</t>
  </si>
  <si>
    <t>Ordinary rock</t>
  </si>
  <si>
    <t>cum</t>
  </si>
  <si>
    <t>Filling available excavated earth (excluding rock) in trenches, plinth,
sides of foundations etc. in layers not exceeding 20cm in depth,
consolidating each deposited layer by ramming and watering, lead up
to 50 m and lift upto 1.5 m.</t>
  </si>
  <si>
    <t xml:space="preserve"> NON-SOR</t>
  </si>
  <si>
    <t>Brought from outside good quality murram in foundation,plinth beams, trenches ,plinth including spreading, leveling, dressing , watering , ramming &amp; compaction  well in layers of 300mm thikness  with vibro roller (hand compactor /manual compaction will be permitted only in pits/narrow areas where compation is not possible with vibro roller ) as specified with soil obtained from excavation so as to obtain min. 95 % field density of MDD.</t>
  </si>
  <si>
    <t>Plot Boundary 103,104(300 Rmt )</t>
  </si>
  <si>
    <r>
      <t>Brought from outside morrum  in foundation,plinth beams, trenches ,plinth including spreading, leveling, dressing , watering , ramming &amp;</t>
    </r>
    <r>
      <rPr>
        <b/>
        <sz val="12"/>
        <color theme="1"/>
        <rFont val="Arial Narrow"/>
        <family val="2"/>
      </rPr>
      <t xml:space="preserve"> </t>
    </r>
    <r>
      <rPr>
        <sz val="12"/>
        <color theme="1"/>
        <rFont val="Arial Narrow"/>
        <family val="2"/>
      </rPr>
      <t>compaction  well in layers of 300mm thikness  with vibro roller (hand compactor /manual compaction will be permitted only in pits/narrow areas where compation is not possible with vibro roller ) as specified with soil obtained from excavation so as to obtain min. 95 % field density of MDD.</t>
    </r>
  </si>
  <si>
    <r>
      <t>Providing and rendering 20mm. thick smooth cement plaster in two coats in CM 1:4 on internal masonary work in plumb using fine sand but without using extra cement at all heights</t>
    </r>
    <r>
      <rPr>
        <b/>
        <sz val="12"/>
        <color theme="1"/>
        <rFont val="Arial Narrow"/>
        <family val="2"/>
      </rPr>
      <t xml:space="preserve"> </t>
    </r>
    <r>
      <rPr>
        <sz val="12"/>
        <color theme="1"/>
        <rFont val="Arial Narrow"/>
        <family val="2"/>
      </rPr>
      <t>including scaffolding</t>
    </r>
    <r>
      <rPr>
        <b/>
        <sz val="12"/>
        <color theme="1"/>
        <rFont val="Arial Narrow"/>
        <family val="2"/>
      </rPr>
      <t>,</t>
    </r>
    <r>
      <rPr>
        <sz val="12"/>
        <color theme="1"/>
        <rFont val="Arial Narrow"/>
        <family val="2"/>
      </rPr>
      <t xml:space="preserve"> hacking joints, finishing smooth with fine sand  to correct level, line, plumb including curring, moulding,grooves in plaster where ever to different materials meet or as per drawing</t>
    </r>
  </si>
  <si>
    <r>
      <t>Providing &amp; Fixing</t>
    </r>
    <r>
      <rPr>
        <b/>
        <sz val="12"/>
        <color theme="1"/>
        <rFont val="Arial Narrow"/>
        <family val="2"/>
      </rPr>
      <t xml:space="preserve"> </t>
    </r>
    <r>
      <rPr>
        <sz val="12"/>
        <color theme="1"/>
        <rFont val="Arial Narrow"/>
        <family val="2"/>
      </rPr>
      <t>45 mm thick GI flush door with frame having 1.2 mm GI sheet and rock wool 98 kg/m3 sandwiched sheet,  shutter of 1.0 mm thic GI sheet including 5 mm thick toughned glass both side for view panel and all fittings, fixtures and hardwares complete. (Make Shakti Hormann/ GMP or equivalent).</t>
    </r>
  </si>
  <si>
    <t>KARNATAKA ANTIBIOTICS &amp; PHARMACEUTICALS LIMITED, BENGALURU.
 RELEASE FOR :  KAPL/BDP/SR/1486</t>
  </si>
  <si>
    <t>Steel reinforcement for R.C.C. work including straightening, cutting, bending, placing in position and binding all complete. (rate is including laps, chairs, spacers,  etc.)</t>
  </si>
  <si>
    <t xml:space="preserve">Providing and mixing integral crystalline admixture for water proofing treatment to RCC structures like basement raft, retaining walls, reservior, sewage &amp; water treatment plant, tunnels / subway and bridge deck etc. at the time of transporting of concrete into the drum of the ready-mix truck , using integral crystalline admixture @0.80% (minimum) to the weight of cement content per cubic meter of concrete) or higher as recommended by the manufacturer's specification in reinforced cement concrete at site of work. The material shall meet the requirements as specified in ACI-212-3R 2010 i.e. by reducing permeability of concrete by more than 90% compared with control concrete as per DIN 1048 and resistant to 16 bar hydrostatic pressure. The crystalline admixture shall be capable of self-healing of cracks up to a width of 0.50mm. The work shall be carried out all complete as per specification and the direction of the Engineer-in-charge. The product performance shall carry guarantee for 10 years against any leakage. </t>
  </si>
  <si>
    <t>Supply and finishing with 2 coats of Epoxy paint with a min thickness of 2-3 mm</t>
  </si>
  <si>
    <r>
      <t>Providing and fixing concertina coil fencing with punched tape concertina coil 600 mm dia 10 metre openable length ( total length 90 m), having 50 nos rounds per 6 metre length, upto 3 m height of wall with existing angle iron 'Y' shaped placed 2.4m or 3.00 m apart and with 9 horizontal R.B.T. reinforced barbed wire, stud tied with G.I. staples and G.I. clips to retain horizontal, including necessary bolts or G.I. barbed wire tied to angle iron, all complete as per direction of Engineer-in-charge, with reinforced barbed tape(R.B.T.) / Spring core (2.5mm thick) wire of high tensile strength of 165 kg/ sq.mm with tape (0.52 mm thick) and weight 43.478 gm/ metre (cost of M.S. angle, C.C. blocks shall be paid separately)</t>
    </r>
    <r>
      <rPr>
        <sz val="12"/>
        <color rgb="FFFF0000"/>
        <rFont val="Arial Narrow"/>
        <family val="2"/>
      </rPr>
      <t xml:space="preserve"> </t>
    </r>
  </si>
  <si>
    <t>Providing &amp; fixing 0.50 mm. thick corrugated GI sheets color coated (Meta color/Track deck/Ispat/Cril) fixed with self drilling screws with washer, stich bolts, tapes at joint ,etc. complete. Laps shall not be paid seperately.</t>
  </si>
  <si>
    <t>Providing &amp; fixing of Y-shaped angle iron post 50x50x6, 2 m long angle post  @ 3.0 m c/c  in boundary at site including all necessory, labour, tools &amp; tackles, scaffolding with one coat of primer and 2 coat of synthetic enamel paint.etc complete.</t>
  </si>
  <si>
    <t>Providing and fixing precoated galvanised steel sheet roofing  accessories 0.50 mm + 0.05 % total coated thickness, Zinc coating 120gsm 
as per IS: 277 in 240 mpa steel grade,  5-7 microns epoxy primer on both side of the sheet and polyester top coat 15- 18 microns using self-drilling/ self tapping screws complete. Laps shall not be paid seperately.</t>
  </si>
  <si>
    <t>Made of G.I. wire of dia. 4 mm, PVC coated to achieve outer dia not less than 5 mm in required colour and shade</t>
  </si>
  <si>
    <t>In stringers, treads, landings etc. of stair cases, including use of chequered plate wherever required, all complete</t>
  </si>
  <si>
    <t>In gratings, frames, guard bar, ladder, railings, brackets, gates and similar works</t>
  </si>
  <si>
    <t>Providing and laying factory made chamfered edge Cement Concrete paver blocks in footpath, parks, lawns, drive ways or light traffic
parking etc, of required strength, thickness &amp; size/ shape, made by table vibratory method using PU mould, laid in required colour &amp;
pattern over 50mm thick compacted bed of sand, compacting and proper embedding/laying of inter locking paver blocks into the sand
bedding layer through vibratory compaction by using plate vibrator, filling the joints with sand and cutting of paver blocks as per required
size and pattern, finishing and sweeping extra sand. complete all as per direction of Engineer-in-Charge.</t>
  </si>
  <si>
    <t>60mm thick cement concrete paver block of M-35 grade with approved colour, design &amp; pattern.</t>
  </si>
  <si>
    <t>80 mm thick C.C. paver block of M-30 grade with approved color design and pattern</t>
  </si>
  <si>
    <t xml:space="preserve">Providing and fixing hand rail of approved size by welding etc. to steel ladder railing, balcony railing, staircase railing and similar works,
including applying priming coat of approved steel primer. </t>
  </si>
  <si>
    <t>Demolishing R.C.C. work manually/ by mechanical means including stacking of steel bars and disposal of unserviceable material within 50 metres lead as per direction of Engineer - in- charge.</t>
  </si>
  <si>
    <t>Providing and applying 2.5 mm thick road marking strips (retro reflective) of specified shade/ colour using hot thermoplastic material by fully/ semi automatic thermoplastic paint applicator machine fitted with profile shoe, glass beads dispenser, propane tank heater and profile shoe heater, driven by experienced operator on road surface including cost of material, labour, T&amp;P, cleaning the road surface of all dirt, seals, oil, grease and foreign material etc. complete as per direction of Engineer-in-charge and accordance with applicable specifications</t>
  </si>
  <si>
    <t>Providing and fixing Glow studs of size 100x20 mm made of heavy duty body shall be moulded ASA (Acrylic styrene Acryloretrite ) or HIP (High impact polystyrene) or ABS having electronically welded micro- prismatic lens with abrasion resistant coating as approved by Engineer in charge. The glow stud shall support a load of 13635 kg tested in accordance with ASTM D4280. The slope of retro- reflective surface shall be 35 (+/-5) degress to base .The reflective panels on both sides with at least 12 cm of reflective area up each side. The luminance intensity should be as per the specification and shall be tested as described in ASTM I: 809 as recommended in BS: 873 part 4 : 1973. The studs shall be fixed to the Road surface using the adhesive conforming to IS, as per procedure recommended by the manufacturer complete and as per direction of Engineer-in-charge.</t>
  </si>
  <si>
    <t>BULK DRUG PROJECT, UJJAIN</t>
  </si>
  <si>
    <t>Items</t>
  </si>
  <si>
    <t>Details</t>
  </si>
  <si>
    <t>3 tank foundation of 200 KL each</t>
  </si>
  <si>
    <t>Input tank storage from Gujarat gas and its allied infrastructure</t>
  </si>
  <si>
    <t xml:space="preserve">DG foundation &amp; platform </t>
  </si>
  <si>
    <t>3 nos of 50 KL storage tank and its foundations</t>
  </si>
  <si>
    <t>Approx 60 nos of Pedestal foundations</t>
  </si>
  <si>
    <t>3 nos of DG foundations and its area Levelling</t>
  </si>
  <si>
    <t>3 nos of Boiler foundation</t>
  </si>
  <si>
    <t>50 tonne capacity and civil works</t>
  </si>
  <si>
    <t>Room works</t>
  </si>
  <si>
    <t>Transformer foundation, fencing and its line works</t>
  </si>
  <si>
    <t>RE wall, Stone pitching, Drains, Road furnitures, Paving works etc</t>
  </si>
  <si>
    <t>Fencing around the area at 103/104 and fencing above east side wall of 110-116</t>
  </si>
  <si>
    <t>KAPL/BDP/SR/1486</t>
  </si>
  <si>
    <t>SCOPE OF CIVIL WORKS
CIVIL WORKS PHASE 3</t>
  </si>
  <si>
    <t xml:space="preserve">         DATE:04.10.2023           
 Rev No: V-04</t>
  </si>
  <si>
    <t>Earth work in surface excavation not exceeding 30 cm in depth but exceeding 1.5 m in width as well as 10 sqm on plan including getting out and disposal of excavated earth upto 50 m and lift upto 1.5 m, as directed by Engineer-in- Charge:</t>
  </si>
  <si>
    <t xml:space="preserve">RM Liquid storage platform </t>
  </si>
  <si>
    <t>As per Drawings from DCPL/KAPL</t>
  </si>
  <si>
    <t>Cooling tower foundations</t>
  </si>
  <si>
    <t>Approx 50 no of street pole foundations as per Drawings from DCPL/KAPL</t>
  </si>
  <si>
    <t>Foundations for fire hydrant lines as per Drawings from DCPL/KAPL</t>
  </si>
  <si>
    <t xml:space="preserve">NOTE: </t>
  </si>
  <si>
    <t>ALL THE ABOVE SCOPE OF WORKS TO BE DONE BASED ON THE DRAWINGS FROM DCPL/KAPL</t>
  </si>
  <si>
    <t>ANNEXURE 1 - CIVIL WORKS BOQ PHASE- III</t>
  </si>
  <si>
    <t>ANNEXURE 3</t>
  </si>
  <si>
    <t>Excavation in foundation,plinth beam,over areas in all types of soils such as earth,hard murrum,soft rock ,marine clay, marshy land, running sand, garbage, slush,earth containg boulders not more then 350 mm size including shoring, dewatering wherever required &amp;  disposing off surplus earth (after utilization for back filling) any where within the plot area . or part thereof including spreading, leveling , dressing,compaction etc. complete (Measurement shall be paid as per I.S. code).</t>
  </si>
  <si>
    <t xml:space="preserve">       a)</t>
  </si>
  <si>
    <t>Excavating trenches of required width for pipes, cables, etc  including excavation for sockets, and dressing of sides, ramming of bottoms, depth upto 750mm   including getting out  the excavated soil, and then returning the River sand as required, in  layers not exceeding 50 cm in depth including consolidating EACH deposited layer by ramming, watering, etc. with brick laying above the cable, and then returning the soil as required    and disposing of surplus excavated soil as directed, within a lead of 50 m : (No extra lift is payable if work is done by mechanical means)</t>
  </si>
  <si>
    <t>Date: 14.10.23
Rev No: V.05</t>
  </si>
  <si>
    <t xml:space="preserve">rate </t>
  </si>
  <si>
    <t xml:space="preserve">excavtion </t>
  </si>
  <si>
    <t xml:space="preserve">sand </t>
  </si>
  <si>
    <t>653 no of brick</t>
  </si>
  <si>
    <t xml:space="preserve">brick </t>
  </si>
  <si>
    <t xml:space="preserve">back filling </t>
  </si>
  <si>
    <t xml:space="preserve">cum </t>
  </si>
  <si>
    <t>nos.</t>
  </si>
  <si>
    <t>i) For depth from 0.0 to 6.0 Mt. (where 0.0 is NGL of respective location).</t>
  </si>
  <si>
    <t xml:space="preserve">Providing 100 mm average thickness Brick bat coba on the terrace as per following: </t>
  </si>
  <si>
    <t>Cleaning of the surface to be treated so that it is free from dust, dirt and other foreign matter.</t>
  </si>
  <si>
    <t xml:space="preserve">Wetting of the surface with water and laying the bed of cement mortar 1:6 maintaining the required slope. </t>
  </si>
  <si>
    <t>Embedding of  brick bats of average thickness 100 mm. in Mortar bedding &amp; filling of the joints with cement mortar 1:4 mixed with Pidilite/ Dr. Fixit or equivalent make as approved by consultants water proofing chemical (proportioning to be done as per the recommendation of the manufacturer).</t>
  </si>
  <si>
    <t>Saturating the entire surface with neat cement slurry (by using 2.15 Kg of cement  per sqmt.) mixed with water proofing chemical Pidilite/ Dr. Fixit or equivalent make as approved by consultants (proportioning to be done as per the recommendation of the manufacturer).</t>
  </si>
  <si>
    <t>20 mm. thick cement  plaster on the saturated surface in CM 1:4 mixed with waterproofing chemical Pidilite/ Dr. Fixit or equivalent make as approved by consultants (proportioning to be done as per the recommendation of the manufacturer)with neat cement finish and cut in 30 cm x 30cm false squares.</t>
  </si>
  <si>
    <t>All complete as per above, with 10 Yrs. guarantee against leakages, seepages etc.</t>
  </si>
  <si>
    <t>Providing &amp; Laying Brickbat Vatta of 150 mm radius.</t>
  </si>
  <si>
    <r>
      <t>Providing and laying in position ready mixed or site batched design mix cement concrete for plain cement concrete work; using coarse aggregate and fine aggregate derived from natural sources, Portland Pozzolana/Ordinary Portland /Portland Slag cement, admixtures in recommended proportions as per IS: 9103 to accelerate / retard setting of concrete, to improve durability and workability without impairing strength; including pumping of concrete to site of laying, curing, carriage for all leads; but excluding the cost of centering, shuttering and finishing as per direction of the engineer-in-charge; for the following grades of concrete.
Note</t>
    </r>
    <r>
      <rPr>
        <b/>
        <sz val="12"/>
        <color rgb="FF000000"/>
        <rFont val="Arial Narrow"/>
        <family val="2"/>
      </rPr>
      <t>:</t>
    </r>
    <r>
      <rPr>
        <sz val="12"/>
        <color rgb="FF000000"/>
        <rFont val="Arial Narrow"/>
        <family val="2"/>
      </rPr>
      <t xml:space="preserve"> Extra cement up to 10% of the minimum specified cement content in design mix shall be payable separately. In case the cement content in design mix is more than 110% of the minimum specified cement content, the contractor shall have discretion to either re-design the mix or bear the cost of extra cement.</t>
    </r>
  </si>
</sst>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44" formatCode="_ &quot;₹&quot;\ * #,##0.00_ ;_ &quot;₹&quot;\ * \-#,##0.00_ ;_ &quot;₹&quot;\ * &quot;-&quot;??_ ;_ @_ "/>
    <numFmt numFmtId="43" formatCode="_ * #,##0.00_ ;_ * \-#,##0.00_ ;_ * &quot;-&quot;??_ ;_ @_ "/>
    <numFmt numFmtId="164" formatCode="_(* #,##0.00_);_(* \(#,##0.00\);_(* &quot;-&quot;??_);_(@_)"/>
    <numFmt numFmtId="165" formatCode="0.0"/>
    <numFmt numFmtId="166" formatCode="_(* #,##0.0_);_(* \(#,##0.0\);_(* &quot;-&quot;??_);_(@_)"/>
    <numFmt numFmtId="167" formatCode="_ * #,##0.0_ ;_ * \-#,##0.0_ ;_ * &quot;-&quot;??_ ;_ @_ "/>
    <numFmt numFmtId="168" formatCode="_ * #,##0_ ;_ * \-#,##0_ ;_ * &quot;-&quot;??_ ;_ @_ "/>
    <numFmt numFmtId="169" formatCode="0.000"/>
    <numFmt numFmtId="170" formatCode="_ [$₹-4009]\ * #,##0.00_ ;_ [$₹-4009]\ * \-#,##0.00_ ;_ [$₹-4009]\ * &quot;-&quot;??_ ;_ @_ "/>
    <numFmt numFmtId="171" formatCode="&quot;₹&quot;\ #,##0.00"/>
    <numFmt numFmtId="172" formatCode="_(* #,##0_);_(* \(#,##0\);_(* &quot;-&quot;??_);_(@_)"/>
    <numFmt numFmtId="173" formatCode="&quot;₹&quot;\ #,##0"/>
    <numFmt numFmtId="174" formatCode="_ [$₹-4009]\ * #,##0_ ;_ [$₹-4009]\ * \-#,##0_ ;_ [$₹-4009]\ * &quot;-&quot;??_ ;_ @_ "/>
    <numFmt numFmtId="175" formatCode="0.0000"/>
  </numFmts>
  <fonts count="101" x14ac:knownFonts="1">
    <font>
      <sz val="10"/>
      <color rgb="FF00000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6"/>
      <color rgb="FF000000"/>
      <name val="Cambria"/>
      <family val="1"/>
    </font>
    <font>
      <sz val="16"/>
      <color rgb="FF000000"/>
      <name val="Cambria"/>
      <family val="1"/>
      <scheme val="major"/>
    </font>
    <font>
      <b/>
      <sz val="16"/>
      <color rgb="FF000000"/>
      <name val="Cambria"/>
      <family val="1"/>
      <scheme val="major"/>
    </font>
    <font>
      <sz val="16"/>
      <color rgb="FF000000"/>
      <name val="Calibri"/>
      <family val="2"/>
      <scheme val="minor"/>
    </font>
    <font>
      <sz val="16"/>
      <color rgb="FF000000"/>
      <name val="Cambria"/>
      <family val="1"/>
    </font>
    <font>
      <b/>
      <sz val="18"/>
      <color rgb="FF000000"/>
      <name val="Cambria"/>
      <family val="1"/>
    </font>
    <font>
      <b/>
      <sz val="20"/>
      <color rgb="FF000000"/>
      <name val="Cambria"/>
      <family val="1"/>
    </font>
    <font>
      <b/>
      <sz val="18"/>
      <color rgb="FF000000"/>
      <name val="Cambria"/>
      <family val="1"/>
      <scheme val="major"/>
    </font>
    <font>
      <sz val="18"/>
      <color rgb="FF000000"/>
      <name val="Cambria"/>
      <family val="1"/>
    </font>
    <font>
      <sz val="16"/>
      <color rgb="FF000000"/>
      <name val="Bookman Old Style"/>
      <family val="1"/>
    </font>
    <font>
      <sz val="16"/>
      <color rgb="FF000000"/>
      <name val="Cambria"/>
      <family val="1"/>
      <scheme val="major"/>
    </font>
    <font>
      <b/>
      <sz val="16"/>
      <color rgb="FF000000"/>
      <name val="Calibri"/>
      <family val="2"/>
      <scheme val="minor"/>
    </font>
    <font>
      <sz val="18"/>
      <color theme="1"/>
      <name val="Calibri"/>
      <family val="2"/>
      <scheme val="minor"/>
    </font>
    <font>
      <sz val="14"/>
      <color rgb="FF000000"/>
      <name val="Cambria"/>
      <family val="1"/>
      <scheme val="major"/>
    </font>
    <font>
      <sz val="14"/>
      <color rgb="FF000000"/>
      <name val="Calibri"/>
      <family val="2"/>
    </font>
    <font>
      <sz val="18"/>
      <color rgb="FF000000"/>
      <name val="Cambria"/>
      <family val="1"/>
      <scheme val="major"/>
    </font>
    <font>
      <b/>
      <sz val="16"/>
      <color theme="5" tint="-0.249977111117893"/>
      <name val="Cambria"/>
      <family val="1"/>
    </font>
    <font>
      <b/>
      <sz val="16"/>
      <color theme="6" tint="-0.49995422223578601"/>
      <name val="Calibri"/>
      <family val="2"/>
      <scheme val="minor"/>
    </font>
    <font>
      <b/>
      <sz val="16"/>
      <color theme="5" tint="-0.249977111117893"/>
      <name val="Bookman Old Style"/>
      <family val="1"/>
    </font>
    <font>
      <sz val="16"/>
      <color theme="1" tint="4.9989318521683403E-2"/>
      <name val="Calibri"/>
      <family val="2"/>
      <scheme val="minor"/>
    </font>
    <font>
      <sz val="16"/>
      <color theme="1" tint="4.9989318521683403E-2"/>
      <name val="Cambria"/>
      <family val="1"/>
    </font>
    <font>
      <sz val="16"/>
      <color theme="1"/>
      <name val="Bookman Old Style"/>
      <family val="1"/>
    </font>
    <font>
      <sz val="16"/>
      <color rgb="FF000000"/>
      <name val="Calibri"/>
      <family val="2"/>
    </font>
    <font>
      <sz val="11"/>
      <color theme="1"/>
      <name val="Bookman Old Style"/>
      <family val="1"/>
    </font>
    <font>
      <b/>
      <sz val="14"/>
      <color rgb="FF000000"/>
      <name val="Cambria"/>
      <family val="1"/>
      <scheme val="major"/>
    </font>
    <font>
      <b/>
      <sz val="12"/>
      <color theme="1" tint="4.9989318521683403E-2"/>
      <name val="Cambria"/>
      <family val="1"/>
    </font>
    <font>
      <sz val="12"/>
      <color rgb="FF000000"/>
      <name val="Cambria"/>
      <family val="1"/>
    </font>
    <font>
      <b/>
      <sz val="12"/>
      <color rgb="FF000000"/>
      <name val="Arial"/>
      <family val="2"/>
    </font>
    <font>
      <b/>
      <sz val="10"/>
      <color rgb="FF000000"/>
      <name val="Arial"/>
      <family val="2"/>
    </font>
    <font>
      <sz val="12"/>
      <color rgb="FF000000"/>
      <name val="Arial"/>
      <family val="2"/>
    </font>
    <font>
      <b/>
      <sz val="10"/>
      <color theme="1" tint="4.9989318521683403E-2"/>
      <name val="Cambria"/>
      <family val="1"/>
    </font>
    <font>
      <b/>
      <sz val="18"/>
      <color rgb="FF000000"/>
      <name val="Bookman Old Style"/>
      <family val="1"/>
    </font>
    <font>
      <b/>
      <sz val="20"/>
      <color rgb="FF000000"/>
      <name val="Bookman Old Style"/>
      <family val="1"/>
    </font>
    <font>
      <b/>
      <sz val="16"/>
      <color rgb="FF000000"/>
      <name val="Bookman Old Style"/>
      <family val="1"/>
    </font>
    <font>
      <b/>
      <sz val="16"/>
      <color theme="1"/>
      <name val="Calibri"/>
      <family val="2"/>
      <scheme val="minor"/>
    </font>
    <font>
      <sz val="18"/>
      <color rgb="FF000000"/>
      <name val="Calibri"/>
      <family val="2"/>
      <scheme val="minor"/>
    </font>
    <font>
      <sz val="16"/>
      <color theme="1"/>
      <name val="Calibri"/>
      <family val="2"/>
      <scheme val="minor"/>
    </font>
    <font>
      <b/>
      <sz val="18"/>
      <color theme="1"/>
      <name val="Calibri"/>
      <family val="2"/>
      <scheme val="minor"/>
    </font>
    <font>
      <b/>
      <sz val="16"/>
      <color rgb="FF000000"/>
      <name val="Calibri"/>
      <family val="2"/>
      <scheme val="minor"/>
    </font>
    <font>
      <sz val="16"/>
      <color rgb="FF000000"/>
      <name val="Calibri"/>
      <family val="2"/>
      <scheme val="minor"/>
    </font>
    <font>
      <b/>
      <sz val="18"/>
      <color rgb="FF000000"/>
      <name val="Calibri"/>
      <family val="2"/>
      <scheme val="minor"/>
    </font>
    <font>
      <b/>
      <sz val="11"/>
      <color rgb="FF000000"/>
      <name val="Cambria"/>
      <family val="1"/>
    </font>
    <font>
      <sz val="11"/>
      <color rgb="FF000000"/>
      <name val="Calibri"/>
      <family val="2"/>
    </font>
    <font>
      <sz val="14"/>
      <color rgb="FF000000"/>
      <name val="Cambria"/>
      <family val="1"/>
    </font>
    <font>
      <b/>
      <sz val="12"/>
      <color rgb="FF000000"/>
      <name val="Cambria"/>
      <family val="1"/>
    </font>
    <font>
      <sz val="11"/>
      <color rgb="FF000000"/>
      <name val="Calibri"/>
      <family val="2"/>
    </font>
    <font>
      <sz val="11"/>
      <color rgb="FFFFFFFF"/>
      <name val="Calibri"/>
      <family val="2"/>
    </font>
    <font>
      <sz val="11"/>
      <color rgb="FF800080"/>
      <name val="Calibri"/>
      <family val="2"/>
    </font>
    <font>
      <b/>
      <sz val="11"/>
      <color rgb="FFFF9900"/>
      <name val="Calibri"/>
      <family val="2"/>
    </font>
    <font>
      <b/>
      <sz val="11"/>
      <color rgb="FFFFFFFF"/>
      <name val="Calibri"/>
      <family val="2"/>
    </font>
    <font>
      <i/>
      <sz val="11"/>
      <color rgb="FF808080"/>
      <name val="Calibri"/>
      <family val="2"/>
    </font>
    <font>
      <sz val="11"/>
      <color rgb="FF008000"/>
      <name val="Calibri"/>
      <family val="2"/>
    </font>
    <font>
      <b/>
      <sz val="15"/>
      <color rgb="FF003366"/>
      <name val="Calibri"/>
      <family val="2"/>
    </font>
    <font>
      <b/>
      <sz val="13"/>
      <color rgb="FF003366"/>
      <name val="Calibri"/>
      <family val="2"/>
    </font>
    <font>
      <b/>
      <sz val="11"/>
      <color rgb="FF003366"/>
      <name val="Calibri"/>
      <family val="2"/>
    </font>
    <font>
      <sz val="11"/>
      <color rgb="FF333399"/>
      <name val="Calibri"/>
      <family val="2"/>
    </font>
    <font>
      <sz val="11"/>
      <color rgb="FFFF9900"/>
      <name val="Calibri"/>
      <family val="2"/>
    </font>
    <font>
      <sz val="11"/>
      <color rgb="FF993300"/>
      <name val="Calibri"/>
      <family val="2"/>
    </font>
    <font>
      <b/>
      <sz val="11"/>
      <color rgb="FF333333"/>
      <name val="Calibri"/>
      <family val="2"/>
    </font>
    <font>
      <b/>
      <sz val="18"/>
      <color rgb="FF003366"/>
      <name val="Cambria"/>
      <family val="1"/>
    </font>
    <font>
      <b/>
      <sz val="11"/>
      <color rgb="FF000000"/>
      <name val="Calibri"/>
      <family val="2"/>
    </font>
    <font>
      <sz val="11"/>
      <color rgb="FFFF0000"/>
      <name val="Calibri"/>
      <family val="2"/>
    </font>
    <font>
      <u/>
      <sz val="10"/>
      <color theme="10"/>
      <name val="Arial"/>
      <family val="2"/>
    </font>
    <font>
      <b/>
      <sz val="11"/>
      <color rgb="FF000000"/>
      <name val="Cambria"/>
      <family val="1"/>
      <scheme val="major"/>
    </font>
    <font>
      <sz val="18"/>
      <color rgb="FF000000"/>
      <name val="Arial"/>
      <family val="2"/>
    </font>
    <font>
      <sz val="14"/>
      <color rgb="FFFF0000"/>
      <name val="Cambria"/>
      <family val="1"/>
    </font>
    <font>
      <sz val="22"/>
      <color rgb="FF000000"/>
      <name val="Arial"/>
      <family val="2"/>
    </font>
    <font>
      <b/>
      <sz val="16"/>
      <color rgb="FF000000"/>
      <name val="Cambria"/>
      <family val="1"/>
    </font>
    <font>
      <sz val="20"/>
      <color rgb="FF000000"/>
      <name val="Arial"/>
      <family val="2"/>
    </font>
    <font>
      <sz val="16"/>
      <color rgb="FF000000"/>
      <name val="Arial"/>
      <family val="2"/>
    </font>
    <font>
      <b/>
      <sz val="16"/>
      <color theme="1"/>
      <name val="Bookman Old Style"/>
      <family val="1"/>
    </font>
    <font>
      <sz val="16"/>
      <color rgb="FFFF0000"/>
      <name val="Cambria"/>
      <family val="1"/>
    </font>
    <font>
      <sz val="16"/>
      <color rgb="FFFF0000"/>
      <name val="Bookman Old Style"/>
      <family val="1"/>
    </font>
    <font>
      <sz val="16"/>
      <color rgb="FFFF0000"/>
      <name val="Calibri"/>
      <family val="2"/>
      <scheme val="minor"/>
    </font>
    <font>
      <sz val="14"/>
      <color rgb="FF000000"/>
      <name val="Arial"/>
      <family val="2"/>
    </font>
    <font>
      <b/>
      <sz val="14"/>
      <color rgb="FF000000"/>
      <name val="Arial Narrow"/>
      <family val="2"/>
    </font>
    <font>
      <sz val="10"/>
      <color rgb="FF000000"/>
      <name val="Arial Narrow"/>
      <family val="2"/>
    </font>
    <font>
      <sz val="12"/>
      <color theme="1"/>
      <name val="Arial Narrow"/>
      <family val="2"/>
    </font>
    <font>
      <b/>
      <sz val="12"/>
      <color rgb="FF000000"/>
      <name val="Arial Narrow"/>
      <family val="2"/>
    </font>
    <font>
      <sz val="12"/>
      <color rgb="FF000000"/>
      <name val="Arial Narrow"/>
      <family val="2"/>
    </font>
    <font>
      <b/>
      <sz val="12"/>
      <color theme="1"/>
      <name val="Arial Narrow"/>
      <family val="2"/>
    </font>
    <font>
      <sz val="12"/>
      <color rgb="FFFF0000"/>
      <name val="Arial Narrow"/>
      <family val="2"/>
    </font>
    <font>
      <b/>
      <sz val="12"/>
      <color rgb="FF000000"/>
      <name val="Arial Narrow"/>
      <family val="2"/>
    </font>
    <font>
      <sz val="12"/>
      <color rgb="FF000000"/>
      <name val="Arial Narrow"/>
      <family val="2"/>
    </font>
    <font>
      <sz val="16"/>
      <color theme="1"/>
      <name val="Arial Narrow"/>
      <family val="2"/>
    </font>
    <font>
      <sz val="14"/>
      <color theme="1"/>
      <name val="Arial Narrow"/>
      <family val="2"/>
    </font>
    <font>
      <b/>
      <sz val="11"/>
      <color rgb="FF000000"/>
      <name val="Arial"/>
      <family val="2"/>
    </font>
    <font>
      <sz val="11"/>
      <color rgb="FF000000"/>
      <name val="Arial"/>
      <family val="2"/>
    </font>
    <font>
      <b/>
      <sz val="9"/>
      <color rgb="FF000000"/>
      <name val="Arial"/>
      <family val="2"/>
    </font>
    <font>
      <sz val="11"/>
      <color theme="1" tint="4.9989318521683403E-2"/>
      <name val="Arial"/>
      <family val="2"/>
    </font>
    <font>
      <u/>
      <sz val="11"/>
      <color theme="10"/>
      <name val="Arial"/>
      <family val="2"/>
    </font>
    <font>
      <u/>
      <sz val="11"/>
      <color theme="11"/>
      <name val="Arial"/>
      <family val="2"/>
    </font>
    <font>
      <sz val="10"/>
      <color rgb="FF000000"/>
      <name val="Arial"/>
      <family val="2"/>
    </font>
    <font>
      <b/>
      <sz val="14"/>
      <color rgb="FF000000"/>
      <name val="Cambria"/>
      <family val="1"/>
    </font>
    <font>
      <b/>
      <sz val="16"/>
      <color rgb="FFFF0000"/>
      <name val="Calibri"/>
      <family val="2"/>
    </font>
    <font>
      <b/>
      <sz val="12"/>
      <color rgb="FF000000"/>
      <name val="Arial"/>
      <family val="2"/>
    </font>
  </fonts>
  <fills count="30">
    <fill>
      <patternFill patternType="none"/>
    </fill>
    <fill>
      <patternFill patternType="gray125"/>
    </fill>
    <fill>
      <patternFill patternType="solid">
        <fgColor theme="0"/>
        <bgColor rgb="FF000000"/>
      </patternFill>
    </fill>
    <fill>
      <patternFill patternType="solid">
        <fgColor rgb="FF92D050"/>
        <bgColor rgb="FF000000"/>
      </patternFill>
    </fill>
    <fill>
      <patternFill patternType="solid">
        <fgColor theme="0" tint="-0.249977111117893"/>
        <bgColor rgb="FF000000"/>
      </patternFill>
    </fill>
    <fill>
      <patternFill patternType="solid">
        <fgColor rgb="FFCCCCFF"/>
        <bgColor rgb="FF000000"/>
      </patternFill>
    </fill>
    <fill>
      <patternFill patternType="solid">
        <fgColor rgb="FFFF99CC"/>
        <bgColor rgb="FF000000"/>
      </patternFill>
    </fill>
    <fill>
      <patternFill patternType="solid">
        <fgColor rgb="FFCCFFCC"/>
        <bgColor rgb="FF000000"/>
      </patternFill>
    </fill>
    <fill>
      <patternFill patternType="solid">
        <fgColor rgb="FFCC99FF"/>
        <bgColor rgb="FF000000"/>
      </patternFill>
    </fill>
    <fill>
      <patternFill patternType="solid">
        <fgColor rgb="FFCCFFFF"/>
        <bgColor rgb="FF000000"/>
      </patternFill>
    </fill>
    <fill>
      <patternFill patternType="solid">
        <fgColor rgb="FFFFCC99"/>
        <bgColor rgb="FF000000"/>
      </patternFill>
    </fill>
    <fill>
      <patternFill patternType="solid">
        <fgColor rgb="FF99CCFF"/>
        <bgColor rgb="FF000000"/>
      </patternFill>
    </fill>
    <fill>
      <patternFill patternType="solid">
        <fgColor rgb="FFFF8080"/>
        <bgColor rgb="FF000000"/>
      </patternFill>
    </fill>
    <fill>
      <patternFill patternType="solid">
        <fgColor rgb="FF00FF00"/>
        <bgColor rgb="FF000000"/>
      </patternFill>
    </fill>
    <fill>
      <patternFill patternType="solid">
        <fgColor rgb="FFFFCC00"/>
        <bgColor rgb="FF000000"/>
      </patternFill>
    </fill>
    <fill>
      <patternFill patternType="solid">
        <fgColor rgb="FF0066CC"/>
        <bgColor rgb="FF000000"/>
      </patternFill>
    </fill>
    <fill>
      <patternFill patternType="solid">
        <fgColor rgb="FF800080"/>
        <bgColor rgb="FF000000"/>
      </patternFill>
    </fill>
    <fill>
      <patternFill patternType="solid">
        <fgColor rgb="FF33CCCC"/>
        <bgColor rgb="FF000000"/>
      </patternFill>
    </fill>
    <fill>
      <patternFill patternType="solid">
        <fgColor rgb="FFFF9900"/>
        <bgColor rgb="FF000000"/>
      </patternFill>
    </fill>
    <fill>
      <patternFill patternType="solid">
        <fgColor rgb="FF333399"/>
        <bgColor rgb="FF000000"/>
      </patternFill>
    </fill>
    <fill>
      <patternFill patternType="solid">
        <fgColor rgb="FFFF0000"/>
        <bgColor rgb="FF000000"/>
      </patternFill>
    </fill>
    <fill>
      <patternFill patternType="solid">
        <fgColor rgb="FF339966"/>
        <bgColor rgb="FF000000"/>
      </patternFill>
    </fill>
    <fill>
      <patternFill patternType="solid">
        <fgColor rgb="FFFF6600"/>
        <bgColor rgb="FF000000"/>
      </patternFill>
    </fill>
    <fill>
      <patternFill patternType="solid">
        <fgColor rgb="FFC0C0C0"/>
        <bgColor rgb="FF000000"/>
      </patternFill>
    </fill>
    <fill>
      <patternFill patternType="solid">
        <fgColor rgb="FF969696"/>
        <bgColor rgb="FF000000"/>
      </patternFill>
    </fill>
    <fill>
      <patternFill patternType="solid">
        <fgColor rgb="FFFFFF99"/>
        <bgColor rgb="FF000000"/>
      </patternFill>
    </fill>
    <fill>
      <patternFill patternType="solid">
        <fgColor rgb="FFFFFFCC"/>
        <bgColor rgb="FF000000"/>
      </patternFill>
    </fill>
    <fill>
      <patternFill patternType="solid">
        <fgColor theme="0"/>
        <bgColor rgb="FF000000"/>
      </patternFill>
    </fill>
    <fill>
      <patternFill patternType="solid">
        <fgColor theme="2" tint="-0.249977111117893"/>
        <bgColor rgb="FF000000"/>
      </patternFill>
    </fill>
    <fill>
      <patternFill patternType="solid">
        <fgColor rgb="FFFFFF00"/>
        <bgColor rgb="FF000000"/>
      </patternFill>
    </fill>
  </fills>
  <borders count="73">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top style="thin">
        <color rgb="FF000000"/>
      </top>
      <bottom/>
      <diagonal/>
    </border>
    <border>
      <left/>
      <right/>
      <top style="thin">
        <color rgb="FF000000"/>
      </top>
      <bottom/>
      <diagonal/>
    </border>
    <border>
      <left/>
      <right style="medium">
        <color rgb="FF000000"/>
      </right>
      <top style="thin">
        <color rgb="FF000000"/>
      </top>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thin">
        <color rgb="FF000000"/>
      </left>
      <right style="thin">
        <color rgb="FF000000"/>
      </right>
      <top/>
      <bottom/>
      <diagonal/>
    </border>
    <border>
      <left style="thin">
        <color rgb="FF000000"/>
      </left>
      <right/>
      <top/>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thin">
        <color rgb="FF000000"/>
      </left>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808080"/>
      </left>
      <right style="thin">
        <color rgb="FF808080"/>
      </right>
      <top style="thin">
        <color rgb="FF808080"/>
      </top>
      <bottom style="thin">
        <color rgb="FF808080"/>
      </bottom>
      <diagonal/>
    </border>
    <border>
      <left style="double">
        <color rgb="FF333333"/>
      </left>
      <right style="double">
        <color rgb="FF333333"/>
      </right>
      <top style="double">
        <color rgb="FF333333"/>
      </top>
      <bottom style="double">
        <color rgb="FF333333"/>
      </bottom>
      <diagonal/>
    </border>
    <border>
      <left/>
      <right/>
      <top/>
      <bottom style="thick">
        <color rgb="FF333399"/>
      </bottom>
      <diagonal/>
    </border>
    <border>
      <left/>
      <right/>
      <top/>
      <bottom style="thick">
        <color rgb="FFC0C0C0"/>
      </bottom>
      <diagonal/>
    </border>
    <border>
      <left/>
      <right/>
      <top/>
      <bottom style="medium">
        <color rgb="FF0066CC"/>
      </bottom>
      <diagonal/>
    </border>
    <border>
      <left/>
      <right/>
      <top/>
      <bottom style="double">
        <color rgb="FFFF9900"/>
      </bottom>
      <diagonal/>
    </border>
    <border>
      <left style="thin">
        <color rgb="FFC0C0C0"/>
      </left>
      <right style="thin">
        <color rgb="FFC0C0C0"/>
      </right>
      <top style="thin">
        <color rgb="FFC0C0C0"/>
      </top>
      <bottom style="thin">
        <color rgb="FFC0C0C0"/>
      </bottom>
      <diagonal/>
    </border>
    <border>
      <left style="thin">
        <color rgb="FF333333"/>
      </left>
      <right style="thin">
        <color rgb="FF333333"/>
      </right>
      <top style="thin">
        <color rgb="FF333333"/>
      </top>
      <bottom style="thin">
        <color rgb="FF333333"/>
      </bottom>
      <diagonal/>
    </border>
    <border>
      <left/>
      <right/>
      <top style="thin">
        <color rgb="FF333399"/>
      </top>
      <bottom style="double">
        <color rgb="FF333399"/>
      </bottom>
      <diagonal/>
    </border>
    <border>
      <left style="thin">
        <color rgb="FF000000"/>
      </left>
      <right/>
      <top/>
      <bottom style="thin">
        <color rgb="FF000000"/>
      </bottom>
      <diagonal/>
    </border>
    <border>
      <left style="medium">
        <color rgb="FF000000"/>
      </left>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style="thin">
        <color rgb="FF000000"/>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medium">
        <color rgb="FF000000"/>
      </left>
      <right style="thin">
        <color rgb="FF000000"/>
      </right>
      <top/>
      <bottom/>
      <diagonal/>
    </border>
    <border>
      <left style="thin">
        <color rgb="FF000000"/>
      </left>
      <right style="medium">
        <color rgb="FF000000"/>
      </right>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thin">
        <color rgb="FF000000"/>
      </right>
      <top style="medium">
        <color rgb="FF000000"/>
      </top>
      <bottom style="thin">
        <color rgb="FF000000"/>
      </bottom>
      <diagonal/>
    </border>
    <border>
      <left style="medium">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bottom style="thin">
        <color rgb="FF000000"/>
      </bottom>
      <diagonal/>
    </border>
    <border>
      <left style="medium">
        <color rgb="FF000000"/>
      </left>
      <right style="thin">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right/>
      <top style="thin">
        <color rgb="FF000000"/>
      </top>
      <bottom style="medium">
        <color rgb="FF000000"/>
      </bottom>
      <diagonal/>
    </border>
    <border>
      <left/>
      <right style="medium">
        <color rgb="FF000000"/>
      </right>
      <top style="thin">
        <color rgb="FF000000"/>
      </top>
      <bottom style="medium">
        <color rgb="FF000000"/>
      </bottom>
      <diagonal/>
    </border>
    <border>
      <left/>
      <right style="thin">
        <color rgb="FF000000"/>
      </right>
      <top style="thin">
        <color rgb="FF000000"/>
      </top>
      <bottom style="medium">
        <color rgb="FF000000"/>
      </bottom>
      <diagonal/>
    </border>
  </borders>
  <cellStyleXfs count="74">
    <xf numFmtId="0" fontId="0" fillId="0" borderId="0">
      <alignment vertical="center"/>
    </xf>
    <xf numFmtId="0" fontId="3" fillId="0" borderId="0">
      <alignment vertical="center"/>
    </xf>
    <xf numFmtId="0" fontId="97" fillId="0" borderId="0">
      <alignment vertical="center"/>
    </xf>
    <xf numFmtId="0" fontId="3" fillId="0" borderId="0">
      <alignment vertical="center"/>
    </xf>
    <xf numFmtId="0" fontId="3" fillId="0" borderId="0">
      <alignment vertical="center"/>
    </xf>
    <xf numFmtId="164" fontId="97" fillId="0" borderId="0" applyFont="0" applyFill="0" applyBorder="0" applyAlignment="0" applyProtection="0">
      <alignment vertical="center"/>
    </xf>
    <xf numFmtId="0" fontId="3" fillId="0" borderId="0">
      <alignment vertical="center"/>
    </xf>
    <xf numFmtId="164" fontId="97" fillId="0" borderId="0" applyFont="0" applyFill="0" applyBorder="0" applyAlignment="0" applyProtection="0">
      <alignment vertical="center"/>
    </xf>
    <xf numFmtId="9" fontId="97" fillId="0" borderId="0" applyFont="0" applyFill="0" applyBorder="0" applyAlignment="0" applyProtection="0">
      <alignment vertical="center"/>
    </xf>
    <xf numFmtId="0" fontId="3" fillId="0" borderId="0">
      <alignment vertical="center"/>
    </xf>
    <xf numFmtId="43" fontId="3" fillId="0" borderId="0" applyFont="0" applyFill="0" applyBorder="0" applyAlignment="0" applyProtection="0">
      <alignment vertical="center"/>
    </xf>
    <xf numFmtId="164" fontId="97" fillId="0" borderId="0" applyFont="0" applyFill="0" applyBorder="0" applyAlignment="0" applyProtection="0">
      <alignment vertical="center"/>
    </xf>
    <xf numFmtId="164" fontId="97" fillId="0" borderId="0" applyFont="0" applyFill="0" applyBorder="0" applyAlignment="0" applyProtection="0">
      <alignment vertical="center"/>
    </xf>
    <xf numFmtId="0" fontId="50" fillId="5" borderId="0" applyNumberFormat="0" applyBorder="0" applyAlignment="0" applyProtection="0">
      <alignment vertical="center"/>
    </xf>
    <xf numFmtId="0" fontId="50" fillId="6" borderId="0" applyNumberFormat="0" applyBorder="0" applyAlignment="0" applyProtection="0">
      <alignment vertical="center"/>
    </xf>
    <xf numFmtId="0" fontId="50" fillId="7" borderId="0" applyNumberFormat="0" applyBorder="0" applyAlignment="0" applyProtection="0">
      <alignment vertical="center"/>
    </xf>
    <xf numFmtId="0" fontId="50" fillId="8" borderId="0" applyNumberFormat="0" applyBorder="0" applyAlignment="0" applyProtection="0">
      <alignment vertical="center"/>
    </xf>
    <xf numFmtId="0" fontId="50" fillId="9" borderId="0" applyNumberFormat="0" applyBorder="0" applyAlignment="0" applyProtection="0">
      <alignment vertical="center"/>
    </xf>
    <xf numFmtId="0" fontId="50" fillId="10" borderId="0" applyNumberFormat="0" applyBorder="0" applyAlignment="0" applyProtection="0">
      <alignment vertical="center"/>
    </xf>
    <xf numFmtId="0" fontId="50" fillId="11" borderId="0" applyNumberFormat="0" applyBorder="0" applyAlignment="0" applyProtection="0">
      <alignment vertical="center"/>
    </xf>
    <xf numFmtId="0" fontId="50" fillId="12" borderId="0" applyNumberFormat="0" applyBorder="0" applyAlignment="0" applyProtection="0">
      <alignment vertical="center"/>
    </xf>
    <xf numFmtId="0" fontId="50" fillId="13" borderId="0" applyNumberFormat="0" applyBorder="0" applyAlignment="0" applyProtection="0">
      <alignment vertical="center"/>
    </xf>
    <xf numFmtId="0" fontId="50" fillId="8" borderId="0" applyNumberFormat="0" applyBorder="0" applyAlignment="0" applyProtection="0">
      <alignment vertical="center"/>
    </xf>
    <xf numFmtId="0" fontId="50" fillId="11" borderId="0" applyNumberFormat="0" applyBorder="0" applyAlignment="0" applyProtection="0">
      <alignment vertical="center"/>
    </xf>
    <xf numFmtId="0" fontId="50" fillId="14" borderId="0" applyNumberFormat="0" applyBorder="0" applyAlignment="0" applyProtection="0">
      <alignment vertical="center"/>
    </xf>
    <xf numFmtId="0" fontId="51" fillId="15" borderId="0" applyNumberFormat="0" applyBorder="0" applyAlignment="0" applyProtection="0">
      <alignment vertical="center"/>
    </xf>
    <xf numFmtId="0" fontId="51" fillId="12" borderId="0" applyNumberFormat="0" applyBorder="0" applyAlignment="0" applyProtection="0">
      <alignment vertical="center"/>
    </xf>
    <xf numFmtId="0" fontId="51" fillId="13" borderId="0" applyNumberFormat="0" applyBorder="0" applyAlignment="0" applyProtection="0">
      <alignment vertical="center"/>
    </xf>
    <xf numFmtId="0" fontId="51" fillId="16" borderId="0" applyNumberFormat="0" applyBorder="0" applyAlignment="0" applyProtection="0">
      <alignment vertical="center"/>
    </xf>
    <xf numFmtId="0" fontId="51" fillId="17" borderId="0" applyNumberFormat="0" applyBorder="0" applyAlignment="0" applyProtection="0">
      <alignment vertical="center"/>
    </xf>
    <xf numFmtId="0" fontId="51" fillId="18" borderId="0" applyNumberFormat="0" applyBorder="0" applyAlignment="0" applyProtection="0">
      <alignment vertical="center"/>
    </xf>
    <xf numFmtId="0" fontId="51" fillId="19" borderId="0" applyNumberFormat="0" applyBorder="0" applyAlignment="0" applyProtection="0">
      <alignment vertical="center"/>
    </xf>
    <xf numFmtId="0" fontId="51" fillId="20" borderId="0" applyNumberFormat="0" applyBorder="0" applyAlignment="0" applyProtection="0">
      <alignment vertical="center"/>
    </xf>
    <xf numFmtId="0" fontId="51" fillId="21" borderId="0" applyNumberFormat="0" applyBorder="0" applyAlignment="0" applyProtection="0">
      <alignment vertical="center"/>
    </xf>
    <xf numFmtId="0" fontId="51" fillId="16" borderId="0" applyNumberFormat="0" applyBorder="0" applyAlignment="0" applyProtection="0">
      <alignment vertical="center"/>
    </xf>
    <xf numFmtId="0" fontId="51" fillId="17" borderId="0" applyNumberFormat="0" applyBorder="0" applyAlignment="0" applyProtection="0">
      <alignment vertical="center"/>
    </xf>
    <xf numFmtId="0" fontId="51" fillId="22" borderId="0" applyNumberFormat="0" applyBorder="0" applyAlignment="0" applyProtection="0">
      <alignment vertical="center"/>
    </xf>
    <xf numFmtId="0" fontId="52" fillId="6" borderId="0" applyNumberFormat="0" applyBorder="0" applyAlignment="0" applyProtection="0">
      <alignment vertical="center"/>
    </xf>
    <xf numFmtId="0" fontId="53" fillId="23" borderId="33" applyNumberFormat="0" applyAlignment="0" applyProtection="0">
      <alignment vertical="center"/>
    </xf>
    <xf numFmtId="0" fontId="54" fillId="24" borderId="34" applyNumberFormat="0" applyAlignment="0" applyProtection="0">
      <alignment vertical="center"/>
    </xf>
    <xf numFmtId="164" fontId="97" fillId="0" borderId="0" applyFont="0" applyFill="0" applyBorder="0" applyAlignment="0" applyProtection="0">
      <alignment vertical="center"/>
    </xf>
    <xf numFmtId="0" fontId="4" fillId="0" borderId="0" applyFont="0" applyFill="0" applyBorder="0" applyAlignment="0" applyProtection="0">
      <alignment vertical="center"/>
    </xf>
    <xf numFmtId="0" fontId="97" fillId="0" borderId="0" applyFont="0" applyFill="0" applyBorder="0" applyAlignment="0" applyProtection="0">
      <alignment vertical="center"/>
    </xf>
    <xf numFmtId="164" fontId="97" fillId="0" borderId="0" applyFont="0" applyFill="0" applyBorder="0" applyAlignment="0" applyProtection="0">
      <alignment vertical="center"/>
    </xf>
    <xf numFmtId="43" fontId="97" fillId="0" borderId="0" applyFont="0" applyFill="0" applyBorder="0" applyAlignment="0" applyProtection="0">
      <alignment vertical="center"/>
    </xf>
    <xf numFmtId="0" fontId="55" fillId="0" borderId="0" applyNumberFormat="0" applyFill="0" applyBorder="0" applyAlignment="0" applyProtection="0">
      <alignment vertical="center"/>
    </xf>
    <xf numFmtId="0" fontId="56" fillId="7" borderId="0" applyNumberFormat="0" applyBorder="0" applyAlignment="0" applyProtection="0">
      <alignment vertical="center"/>
    </xf>
    <xf numFmtId="0" fontId="57" fillId="0" borderId="35" applyNumberFormat="0" applyFill="0" applyAlignment="0" applyProtection="0">
      <alignment vertical="center"/>
    </xf>
    <xf numFmtId="0" fontId="58" fillId="0" borderId="36" applyNumberFormat="0" applyFill="0" applyAlignment="0" applyProtection="0">
      <alignment vertical="center"/>
    </xf>
    <xf numFmtId="0" fontId="59" fillId="0" borderId="37" applyNumberFormat="0" applyFill="0" applyAlignment="0" applyProtection="0">
      <alignment vertical="center"/>
    </xf>
    <xf numFmtId="0" fontId="59" fillId="0" borderId="0" applyNumberFormat="0" applyFill="0" applyBorder="0" applyAlignment="0" applyProtection="0">
      <alignment vertical="center"/>
    </xf>
    <xf numFmtId="0" fontId="67" fillId="0" borderId="0" applyNumberFormat="0" applyFill="0" applyBorder="0" applyAlignment="0" applyProtection="0">
      <alignment vertical="top"/>
      <protection locked="0"/>
    </xf>
    <xf numFmtId="0" fontId="60" fillId="10" borderId="33" applyNumberFormat="0" applyAlignment="0" applyProtection="0">
      <alignment vertical="center"/>
    </xf>
    <xf numFmtId="0" fontId="61" fillId="0" borderId="38" applyNumberFormat="0" applyFill="0" applyAlignment="0" applyProtection="0">
      <alignment vertical="center"/>
    </xf>
    <xf numFmtId="0" fontId="62" fillId="25" borderId="0" applyNumberFormat="0" applyBorder="0" applyAlignment="0" applyProtection="0">
      <alignment vertical="center"/>
    </xf>
    <xf numFmtId="0" fontId="97" fillId="0" borderId="0">
      <alignment vertical="center"/>
    </xf>
    <xf numFmtId="0" fontId="4" fillId="0" borderId="0">
      <alignment vertical="center"/>
    </xf>
    <xf numFmtId="0" fontId="97" fillId="0" borderId="0">
      <alignment vertical="center"/>
    </xf>
    <xf numFmtId="0" fontId="97" fillId="26" borderId="39" applyNumberFormat="0" applyFont="0" applyAlignment="0" applyProtection="0">
      <alignment vertical="center"/>
    </xf>
    <xf numFmtId="0" fontId="97" fillId="26" borderId="39" applyNumberFormat="0" applyFont="0" applyAlignment="0" applyProtection="0">
      <alignment vertical="center"/>
    </xf>
    <xf numFmtId="0" fontId="63" fillId="23" borderId="40" applyNumberFormat="0" applyAlignment="0" applyProtection="0">
      <alignment vertical="center"/>
    </xf>
    <xf numFmtId="0" fontId="64" fillId="0" borderId="0" applyNumberFormat="0" applyFill="0" applyBorder="0" applyAlignment="0" applyProtection="0">
      <alignment vertical="center"/>
    </xf>
    <xf numFmtId="0" fontId="65" fillId="0" borderId="41" applyNumberFormat="0" applyFill="0" applyAlignment="0" applyProtection="0">
      <alignment vertical="center"/>
    </xf>
    <xf numFmtId="0" fontId="66" fillId="0" borderId="0" applyNumberForma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2" fillId="0" borderId="0">
      <alignment vertical="center"/>
    </xf>
    <xf numFmtId="0" fontId="2" fillId="0" borderId="0">
      <alignment vertical="center"/>
    </xf>
    <xf numFmtId="0" fontId="1" fillId="0" borderId="0">
      <alignment vertical="center"/>
    </xf>
    <xf numFmtId="0" fontId="97" fillId="0" borderId="0">
      <alignment vertical="center"/>
    </xf>
    <xf numFmtId="43" fontId="1" fillId="0" borderId="0" applyFont="0" applyFill="0" applyBorder="0" applyAlignment="0" applyProtection="0">
      <alignment vertical="center"/>
    </xf>
    <xf numFmtId="0" fontId="95" fillId="0" borderId="0" applyNumberFormat="0" applyFill="0" applyBorder="0" applyAlignment="0" applyProtection="0">
      <alignment vertical="center"/>
    </xf>
    <xf numFmtId="0" fontId="96" fillId="0" borderId="0" applyNumberFormat="0" applyFill="0" applyBorder="0" applyAlignment="0" applyProtection="0">
      <alignment vertical="center"/>
    </xf>
  </cellStyleXfs>
  <cellXfs count="614">
    <xf numFmtId="0" fontId="0" fillId="0" borderId="0" xfId="0" applyAlignment="1"/>
    <xf numFmtId="1" fontId="6" fillId="2" borderId="1" xfId="0" applyNumberFormat="1" applyFont="1" applyFill="1" applyBorder="1" applyAlignment="1">
      <alignment horizontal="center" vertical="center" wrapText="1"/>
    </xf>
    <xf numFmtId="2" fontId="9" fillId="2" borderId="1" xfId="0" applyNumberFormat="1" applyFont="1" applyFill="1" applyBorder="1" applyAlignment="1">
      <alignment horizontal="center" vertical="center" wrapText="1"/>
    </xf>
    <xf numFmtId="0" fontId="9" fillId="2" borderId="1" xfId="0" applyFont="1" applyFill="1" applyBorder="1" applyAlignment="1">
      <alignment horizontal="center" vertical="center" wrapText="1"/>
    </xf>
    <xf numFmtId="164" fontId="5" fillId="2" borderId="1" xfId="5" applyFont="1" applyFill="1" applyBorder="1" applyAlignment="1">
      <alignment horizontal="center" vertical="center" wrapText="1"/>
    </xf>
    <xf numFmtId="0" fontId="8" fillId="2" borderId="1" xfId="0" applyFont="1" applyFill="1" applyBorder="1" applyAlignment="1">
      <alignment horizontal="center" vertical="center" wrapText="1"/>
    </xf>
    <xf numFmtId="0" fontId="0" fillId="2" borderId="1" xfId="0" applyFill="1" applyBorder="1" applyAlignment="1"/>
    <xf numFmtId="0" fontId="0" fillId="2" borderId="0" xfId="0" applyFill="1" applyAlignment="1"/>
    <xf numFmtId="0" fontId="9" fillId="2" borderId="1" xfId="0" applyFont="1" applyFill="1" applyBorder="1" applyAlignment="1">
      <alignment horizontal="center" vertical="center"/>
    </xf>
    <xf numFmtId="0" fontId="0" fillId="0" borderId="1" xfId="0" applyBorder="1" applyAlignment="1"/>
    <xf numFmtId="167" fontId="8" fillId="2" borderId="1" xfId="5" applyNumberFormat="1" applyFont="1" applyFill="1" applyBorder="1" applyAlignment="1">
      <alignment horizontal="center" vertical="center" wrapText="1"/>
    </xf>
    <xf numFmtId="1" fontId="9" fillId="0" borderId="1" xfId="0" applyNumberFormat="1" applyFont="1" applyBorder="1" applyAlignment="1">
      <alignment horizontal="left" vertical="center" wrapText="1"/>
    </xf>
    <xf numFmtId="0" fontId="9" fillId="0" borderId="1" xfId="0" applyFont="1" applyBorder="1" applyAlignment="1">
      <alignment horizontal="center" vertical="center" wrapText="1"/>
    </xf>
    <xf numFmtId="165" fontId="9" fillId="0" borderId="1" xfId="0" applyNumberFormat="1" applyFont="1" applyBorder="1" applyAlignment="1">
      <alignment horizontal="center" vertical="center" wrapText="1"/>
    </xf>
    <xf numFmtId="165" fontId="9" fillId="2" borderId="1" xfId="0" applyNumberFormat="1" applyFont="1" applyFill="1" applyBorder="1" applyAlignment="1">
      <alignment horizontal="center" vertical="center" wrapText="1"/>
    </xf>
    <xf numFmtId="1" fontId="6" fillId="2" borderId="1" xfId="0" applyNumberFormat="1" applyFont="1" applyFill="1" applyBorder="1" applyAlignment="1">
      <alignment horizontal="left" vertical="top" wrapText="1"/>
    </xf>
    <xf numFmtId="0" fontId="10" fillId="2" borderId="14" xfId="0" applyFont="1" applyFill="1" applyBorder="1" applyAlignment="1">
      <alignment horizontal="center" vertical="center" wrapText="1"/>
    </xf>
    <xf numFmtId="164" fontId="5" fillId="2" borderId="15" xfId="5" applyFont="1" applyFill="1" applyBorder="1" applyAlignment="1">
      <alignment horizontal="center" vertical="center" wrapText="1"/>
    </xf>
    <xf numFmtId="0" fontId="5" fillId="2" borderId="15" xfId="0" applyFont="1" applyFill="1" applyBorder="1" applyAlignment="1">
      <alignment horizontal="center" vertical="center" wrapText="1"/>
    </xf>
    <xf numFmtId="49" fontId="5" fillId="2" borderId="15" xfId="0" applyNumberFormat="1"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1" fontId="12" fillId="2" borderId="15" xfId="0" applyNumberFormat="1" applyFont="1" applyFill="1" applyBorder="1" applyAlignment="1">
      <alignment horizontal="center" vertical="center" wrapText="1"/>
    </xf>
    <xf numFmtId="1" fontId="12" fillId="2" borderId="15" xfId="0" applyNumberFormat="1" applyFont="1" applyFill="1" applyBorder="1" applyAlignment="1">
      <alignment horizontal="center" vertical="center"/>
    </xf>
    <xf numFmtId="1" fontId="12" fillId="2" borderId="16" xfId="0" applyNumberFormat="1" applyFont="1" applyFill="1" applyBorder="1" applyAlignment="1">
      <alignment horizontal="center" vertical="center" wrapText="1"/>
    </xf>
    <xf numFmtId="0" fontId="10" fillId="2" borderId="8" xfId="0" applyFont="1" applyFill="1" applyBorder="1" applyAlignment="1">
      <alignment horizontal="center" vertical="center" wrapText="1"/>
    </xf>
    <xf numFmtId="0" fontId="5" fillId="2" borderId="1" xfId="0" applyFont="1" applyFill="1" applyBorder="1" applyAlignment="1">
      <alignment vertical="top" wrapText="1"/>
    </xf>
    <xf numFmtId="1" fontId="12" fillId="2" borderId="1" xfId="0" applyNumberFormat="1" applyFont="1" applyFill="1" applyBorder="1" applyAlignment="1">
      <alignment horizontal="center" vertical="center" wrapText="1"/>
    </xf>
    <xf numFmtId="0" fontId="0" fillId="2" borderId="13" xfId="0" applyFill="1" applyBorder="1" applyAlignment="1"/>
    <xf numFmtId="0" fontId="13" fillId="2" borderId="8" xfId="0" applyFont="1" applyFill="1" applyBorder="1" applyAlignment="1">
      <alignment horizontal="center" vertical="center" wrapText="1"/>
    </xf>
    <xf numFmtId="43" fontId="14" fillId="0" borderId="1" xfId="0" applyNumberFormat="1" applyFont="1" applyBorder="1" applyAlignment="1">
      <alignment horizontal="center" vertical="center" wrapText="1"/>
    </xf>
    <xf numFmtId="0" fontId="14" fillId="0" borderId="1" xfId="0" applyFont="1" applyBorder="1" applyAlignment="1">
      <alignment vertical="top" wrapText="1"/>
    </xf>
    <xf numFmtId="0" fontId="14" fillId="0" borderId="1" xfId="0" applyFont="1" applyBorder="1" applyAlignment="1">
      <alignment horizontal="center" vertical="center" wrapText="1"/>
    </xf>
    <xf numFmtId="1" fontId="8" fillId="2" borderId="1" xfId="0" applyNumberFormat="1" applyFont="1" applyFill="1" applyBorder="1" applyAlignment="1">
      <alignment horizontal="center" vertical="center" wrapText="1"/>
    </xf>
    <xf numFmtId="0" fontId="8" fillId="2" borderId="1" xfId="0" applyFont="1" applyFill="1" applyBorder="1" applyAlignment="1">
      <alignment vertical="top" wrapText="1"/>
    </xf>
    <xf numFmtId="169" fontId="9" fillId="2" borderId="1" xfId="0" applyNumberFormat="1" applyFont="1" applyFill="1" applyBorder="1" applyAlignment="1">
      <alignment horizontal="center" vertical="center" wrapText="1"/>
    </xf>
    <xf numFmtId="165" fontId="9" fillId="2" borderId="1" xfId="0" applyNumberFormat="1" applyFont="1" applyFill="1" applyBorder="1" applyAlignment="1">
      <alignment horizontal="center" vertical="center"/>
    </xf>
    <xf numFmtId="0" fontId="13" fillId="2" borderId="8" xfId="0" applyFont="1" applyFill="1" applyBorder="1" applyAlignment="1">
      <alignment horizontal="center" vertical="center"/>
    </xf>
    <xf numFmtId="0" fontId="8" fillId="2" borderId="1" xfId="0" applyFont="1" applyFill="1" applyBorder="1" applyAlignment="1">
      <alignment vertical="top"/>
    </xf>
    <xf numFmtId="2" fontId="8" fillId="2" borderId="1" xfId="0" applyNumberFormat="1" applyFont="1" applyFill="1" applyBorder="1" applyAlignment="1">
      <alignment horizontal="center" vertical="center" wrapText="1"/>
    </xf>
    <xf numFmtId="164" fontId="8" fillId="2" borderId="1" xfId="5" applyFont="1" applyFill="1" applyBorder="1" applyAlignment="1">
      <alignment horizontal="center" vertical="center" wrapText="1"/>
    </xf>
    <xf numFmtId="1" fontId="9" fillId="0" borderId="1" xfId="0" applyNumberFormat="1" applyFont="1" applyBorder="1" applyAlignment="1">
      <alignment horizontal="center" vertical="center" wrapText="1"/>
    </xf>
    <xf numFmtId="0" fontId="8" fillId="0" borderId="1" xfId="0" applyFont="1" applyBorder="1" applyAlignment="1">
      <alignment vertical="top" wrapText="1"/>
    </xf>
    <xf numFmtId="0" fontId="0" fillId="0" borderId="13" xfId="0" applyBorder="1" applyAlignment="1"/>
    <xf numFmtId="1" fontId="8" fillId="2" borderId="1" xfId="0" applyNumberFormat="1" applyFont="1" applyFill="1" applyBorder="1" applyAlignment="1">
      <alignment vertical="top" wrapText="1"/>
    </xf>
    <xf numFmtId="1" fontId="15" fillId="2" borderId="1" xfId="0" applyNumberFormat="1" applyFont="1" applyFill="1" applyBorder="1" applyAlignment="1">
      <alignment horizontal="center" vertical="center" wrapText="1"/>
    </xf>
    <xf numFmtId="1" fontId="15" fillId="3" borderId="1" xfId="0" applyNumberFormat="1" applyFont="1" applyFill="1" applyBorder="1" applyAlignment="1">
      <alignment horizontal="center" vertical="center" wrapText="1"/>
    </xf>
    <xf numFmtId="1" fontId="16" fillId="2" borderId="1" xfId="0" applyNumberFormat="1" applyFont="1" applyFill="1" applyBorder="1" applyAlignment="1">
      <alignment horizontal="center" vertical="center" wrapText="1"/>
    </xf>
    <xf numFmtId="44" fontId="9" fillId="2" borderId="1" xfId="0" applyNumberFormat="1" applyFont="1" applyFill="1" applyBorder="1" applyAlignment="1">
      <alignment horizontal="center" vertical="center" wrapText="1"/>
    </xf>
    <xf numFmtId="164" fontId="0" fillId="2" borderId="1" xfId="0" applyNumberFormat="1" applyFill="1" applyBorder="1" applyAlignment="1"/>
    <xf numFmtId="0" fontId="17" fillId="2" borderId="17" xfId="0" applyFont="1" applyFill="1" applyBorder="1" applyAlignment="1">
      <alignment horizontal="center" vertical="center"/>
    </xf>
    <xf numFmtId="0" fontId="0" fillId="2" borderId="18" xfId="0" applyFill="1" applyBorder="1" applyAlignment="1"/>
    <xf numFmtId="0" fontId="0" fillId="2" borderId="18" xfId="0" applyFill="1" applyBorder="1" applyAlignment="1">
      <alignment vertical="top"/>
    </xf>
    <xf numFmtId="0" fontId="0" fillId="2" borderId="18" xfId="0" applyFill="1" applyBorder="1" applyAlignment="1">
      <alignment horizontal="center" vertical="center"/>
    </xf>
    <xf numFmtId="164" fontId="0" fillId="2" borderId="13" xfId="0" applyNumberFormat="1" applyFill="1" applyBorder="1" applyAlignment="1"/>
    <xf numFmtId="0" fontId="17" fillId="2" borderId="19" xfId="0" applyFont="1" applyFill="1" applyBorder="1" applyAlignment="1">
      <alignment horizontal="center" vertical="center"/>
    </xf>
    <xf numFmtId="0" fontId="0" fillId="2" borderId="0" xfId="0" applyFill="1" applyAlignment="1">
      <alignment vertical="top"/>
    </xf>
    <xf numFmtId="0" fontId="0" fillId="2" borderId="0" xfId="0" applyFill="1" applyAlignment="1">
      <alignment horizontal="center" vertical="center"/>
    </xf>
    <xf numFmtId="0" fontId="0" fillId="2" borderId="20" xfId="0" applyFill="1" applyBorder="1" applyAlignment="1"/>
    <xf numFmtId="0" fontId="17" fillId="2" borderId="21" xfId="0" applyFont="1" applyFill="1" applyBorder="1" applyAlignment="1">
      <alignment horizontal="center" vertical="center"/>
    </xf>
    <xf numFmtId="0" fontId="0" fillId="2" borderId="22" xfId="0" applyFill="1" applyBorder="1" applyAlignment="1"/>
    <xf numFmtId="0" fontId="0" fillId="2" borderId="22" xfId="0" applyFill="1" applyBorder="1" applyAlignment="1">
      <alignment vertical="top"/>
    </xf>
    <xf numFmtId="0" fontId="0" fillId="2" borderId="22" xfId="0" applyFill="1" applyBorder="1" applyAlignment="1">
      <alignment horizontal="center" vertical="center"/>
    </xf>
    <xf numFmtId="0" fontId="0" fillId="2" borderId="23" xfId="0" applyFill="1" applyBorder="1" applyAlignment="1"/>
    <xf numFmtId="0" fontId="17" fillId="2" borderId="0" xfId="0" applyFont="1" applyFill="1" applyAlignment="1">
      <alignment horizontal="center" vertical="center"/>
    </xf>
    <xf numFmtId="164" fontId="5" fillId="2" borderId="15" xfId="7" applyFont="1" applyFill="1" applyBorder="1" applyAlignment="1">
      <alignment horizontal="center" vertical="center" wrapText="1"/>
    </xf>
    <xf numFmtId="164" fontId="5" fillId="2" borderId="1" xfId="7" applyFont="1" applyFill="1" applyBorder="1" applyAlignment="1">
      <alignment horizontal="center" vertical="center" wrapText="1"/>
    </xf>
    <xf numFmtId="0" fontId="0" fillId="2" borderId="1" xfId="0" applyFill="1" applyBorder="1" applyAlignment="1">
      <alignment vertical="top"/>
    </xf>
    <xf numFmtId="0" fontId="0" fillId="2" borderId="1" xfId="0" applyFill="1" applyBorder="1" applyAlignment="1">
      <alignment horizontal="center" vertical="center"/>
    </xf>
    <xf numFmtId="166" fontId="8" fillId="2" borderId="1" xfId="7" applyNumberFormat="1" applyFont="1" applyFill="1" applyBorder="1" applyAlignment="1">
      <alignment horizontal="center" vertical="center" wrapText="1"/>
    </xf>
    <xf numFmtId="164" fontId="8" fillId="2" borderId="1" xfId="7" applyFont="1" applyFill="1" applyBorder="1" applyAlignment="1">
      <alignment horizontal="center" vertical="center" wrapText="1"/>
    </xf>
    <xf numFmtId="167" fontId="8" fillId="2" borderId="1" xfId="7" applyNumberFormat="1" applyFont="1" applyFill="1" applyBorder="1" applyAlignment="1">
      <alignment horizontal="center" vertical="center" wrapText="1"/>
    </xf>
    <xf numFmtId="0" fontId="8" fillId="2" borderId="1" xfId="7" applyNumberFormat="1" applyFont="1" applyFill="1" applyBorder="1" applyAlignment="1">
      <alignment horizontal="center" vertical="center" wrapText="1"/>
    </xf>
    <xf numFmtId="43" fontId="8" fillId="2" borderId="1" xfId="7" applyNumberFormat="1" applyFont="1" applyFill="1" applyBorder="1" applyAlignment="1">
      <alignment horizontal="center" vertical="center" wrapText="1"/>
    </xf>
    <xf numFmtId="2" fontId="14" fillId="2" borderId="1" xfId="7" applyNumberFormat="1" applyFont="1" applyFill="1" applyBorder="1" applyAlignment="1">
      <alignment horizontal="center" vertical="center" wrapText="1"/>
    </xf>
    <xf numFmtId="0" fontId="14" fillId="2" borderId="1" xfId="0" applyFont="1" applyFill="1" applyBorder="1" applyAlignment="1">
      <alignment vertical="top" wrapText="1"/>
    </xf>
    <xf numFmtId="0" fontId="14" fillId="2" borderId="1" xfId="0" applyFont="1" applyFill="1" applyBorder="1" applyAlignment="1">
      <alignment horizontal="center" vertical="center" wrapText="1"/>
    </xf>
    <xf numFmtId="1" fontId="18" fillId="2" borderId="1" xfId="0" applyNumberFormat="1" applyFont="1" applyFill="1" applyBorder="1" applyAlignment="1">
      <alignment horizontal="left" vertical="top" wrapText="1"/>
    </xf>
    <xf numFmtId="1" fontId="9" fillId="2" borderId="1" xfId="0" applyNumberFormat="1" applyFont="1" applyFill="1" applyBorder="1" applyAlignment="1">
      <alignment horizontal="left" vertical="center" wrapText="1"/>
    </xf>
    <xf numFmtId="2" fontId="19" fillId="0" borderId="1" xfId="7" applyNumberFormat="1" applyFont="1" applyBorder="1" applyAlignment="1">
      <alignment horizontal="center" vertical="center"/>
    </xf>
    <xf numFmtId="1" fontId="20" fillId="2" borderId="1" xfId="0" applyNumberFormat="1" applyFont="1" applyFill="1" applyBorder="1" applyAlignment="1">
      <alignment horizontal="center" vertical="center"/>
    </xf>
    <xf numFmtId="2" fontId="5" fillId="0" borderId="1" xfId="0" applyNumberFormat="1" applyFont="1" applyBorder="1" applyAlignment="1">
      <alignment horizontal="center" vertical="center" wrapText="1" readingOrder="2"/>
    </xf>
    <xf numFmtId="1" fontId="6" fillId="0" borderId="1" xfId="0" applyNumberFormat="1" applyFont="1" applyBorder="1" applyAlignment="1">
      <alignment horizontal="left" vertical="top" wrapText="1"/>
    </xf>
    <xf numFmtId="43" fontId="14" fillId="0" borderId="1" xfId="9" applyNumberFormat="1" applyFont="1" applyBorder="1" applyAlignment="1">
      <alignment horizontal="center" vertical="center" wrapText="1"/>
    </xf>
    <xf numFmtId="0" fontId="22" fillId="0" borderId="1" xfId="0" applyFont="1" applyBorder="1" applyAlignment="1">
      <alignment vertical="top" wrapText="1"/>
    </xf>
    <xf numFmtId="0" fontId="23" fillId="0" borderId="1" xfId="9" applyFont="1" applyBorder="1" applyAlignment="1">
      <alignment horizontal="center" vertical="center" wrapText="1"/>
    </xf>
    <xf numFmtId="164" fontId="14" fillId="0" borderId="1" xfId="7" applyFont="1" applyFill="1" applyBorder="1" applyAlignment="1">
      <alignment vertical="center" wrapText="1"/>
    </xf>
    <xf numFmtId="168" fontId="14" fillId="0" borderId="1" xfId="7" applyNumberFormat="1" applyFont="1" applyFill="1" applyBorder="1" applyAlignment="1">
      <alignment horizontal="center" vertical="center" wrapText="1"/>
    </xf>
    <xf numFmtId="164" fontId="14" fillId="0" borderId="1" xfId="7" applyFont="1" applyFill="1" applyBorder="1" applyAlignment="1">
      <alignment horizontal="center" vertical="center" wrapText="1"/>
    </xf>
    <xf numFmtId="10" fontId="14" fillId="0" borderId="1" xfId="8" applyNumberFormat="1" applyFont="1" applyFill="1" applyBorder="1" applyAlignment="1">
      <alignment horizontal="center" vertical="center" wrapText="1"/>
    </xf>
    <xf numFmtId="0" fontId="26" fillId="0" borderId="1" xfId="0" applyFont="1" applyBorder="1" applyAlignment="1">
      <alignment horizontal="center" vertical="center"/>
    </xf>
    <xf numFmtId="0" fontId="26" fillId="0" borderId="0" xfId="0" applyFont="1" applyAlignment="1"/>
    <xf numFmtId="0" fontId="26" fillId="0" borderId="1" xfId="0" applyFont="1" applyBorder="1" applyAlignment="1"/>
    <xf numFmtId="166" fontId="14" fillId="0" borderId="1" xfId="7" applyNumberFormat="1" applyFont="1" applyFill="1" applyBorder="1" applyAlignment="1">
      <alignment horizontal="center" vertical="center" wrapText="1"/>
    </xf>
    <xf numFmtId="166" fontId="14" fillId="0" borderId="1" xfId="8" applyNumberFormat="1" applyFont="1" applyFill="1" applyBorder="1" applyAlignment="1">
      <alignment horizontal="center" vertical="center" wrapText="1"/>
    </xf>
    <xf numFmtId="166" fontId="26" fillId="0" borderId="2" xfId="0" applyNumberFormat="1" applyFont="1" applyBorder="1" applyAlignment="1">
      <alignment horizontal="center" vertical="center" wrapText="1"/>
    </xf>
    <xf numFmtId="0" fontId="26" fillId="0" borderId="1" xfId="0" applyFont="1" applyBorder="1" applyAlignment="1">
      <alignment horizontal="center" vertical="center" wrapText="1"/>
    </xf>
    <xf numFmtId="43" fontId="8" fillId="2" borderId="1" xfId="7" applyNumberFormat="1" applyFont="1" applyFill="1" applyBorder="1" applyAlignment="1">
      <alignment vertical="center" wrapText="1"/>
    </xf>
    <xf numFmtId="2" fontId="9" fillId="0" borderId="1" xfId="1" applyNumberFormat="1" applyFont="1" applyBorder="1" applyAlignment="1">
      <alignment horizontal="center" vertical="center" wrapText="1"/>
    </xf>
    <xf numFmtId="2" fontId="8" fillId="2" borderId="1" xfId="7" applyNumberFormat="1" applyFont="1" applyFill="1" applyBorder="1" applyAlignment="1">
      <alignment horizontal="center" vertical="center" wrapText="1"/>
    </xf>
    <xf numFmtId="1" fontId="9" fillId="2" borderId="1" xfId="0" applyNumberFormat="1" applyFont="1" applyFill="1" applyBorder="1" applyAlignment="1">
      <alignment horizontal="center" vertical="center" wrapText="1"/>
    </xf>
    <xf numFmtId="1" fontId="6" fillId="0" borderId="1" xfId="0" applyNumberFormat="1" applyFont="1" applyBorder="1" applyAlignment="1">
      <alignment horizontal="center" vertical="center" wrapText="1"/>
    </xf>
    <xf numFmtId="1" fontId="5" fillId="2" borderId="1" xfId="0" applyNumberFormat="1" applyFont="1" applyFill="1" applyBorder="1" applyAlignment="1">
      <alignment horizontal="center" vertical="center" wrapText="1"/>
    </xf>
    <xf numFmtId="0" fontId="5" fillId="2" borderId="15" xfId="0" applyFont="1" applyFill="1" applyBorder="1" applyAlignment="1">
      <alignment horizontal="left" vertical="top" wrapText="1"/>
    </xf>
    <xf numFmtId="0" fontId="5" fillId="2" borderId="1" xfId="0" applyFont="1" applyFill="1" applyBorder="1" applyAlignment="1">
      <alignment horizontal="left" vertical="top" wrapText="1"/>
    </xf>
    <xf numFmtId="2" fontId="29" fillId="2" borderId="1" xfId="0" applyNumberFormat="1" applyFont="1" applyFill="1" applyBorder="1" applyAlignment="1">
      <alignment horizontal="center" vertical="center" wrapText="1"/>
    </xf>
    <xf numFmtId="0" fontId="0" fillId="2" borderId="0" xfId="0" applyFill="1" applyAlignment="1">
      <alignment horizontal="left" vertical="top"/>
    </xf>
    <xf numFmtId="1" fontId="31" fillId="0" borderId="0" xfId="0" applyNumberFormat="1" applyFont="1">
      <alignment vertical="center"/>
    </xf>
    <xf numFmtId="0" fontId="32" fillId="0" borderId="14" xfId="0" applyFont="1" applyBorder="1" applyAlignment="1">
      <alignment vertical="center" wrapText="1"/>
    </xf>
    <xf numFmtId="0" fontId="33" fillId="0" borderId="0" xfId="0" applyFont="1" applyAlignment="1"/>
    <xf numFmtId="0" fontId="28" fillId="2" borderId="0" xfId="0" applyFont="1" applyFill="1" applyAlignment="1"/>
    <xf numFmtId="164" fontId="38" fillId="2" borderId="1" xfId="5" applyFont="1" applyFill="1" applyBorder="1" applyAlignment="1">
      <alignment horizontal="center" vertical="center" wrapText="1"/>
    </xf>
    <xf numFmtId="0" fontId="38" fillId="2" borderId="1" xfId="0" applyFont="1" applyFill="1" applyBorder="1" applyAlignment="1">
      <alignment horizontal="center" vertical="center" wrapText="1"/>
    </xf>
    <xf numFmtId="49" fontId="38" fillId="2" borderId="1" xfId="0" applyNumberFormat="1" applyFont="1" applyFill="1" applyBorder="1" applyAlignment="1">
      <alignment horizontal="center" vertical="center" wrapText="1"/>
    </xf>
    <xf numFmtId="1" fontId="36" fillId="2" borderId="1" xfId="0" applyNumberFormat="1" applyFont="1" applyFill="1" applyBorder="1" applyAlignment="1">
      <alignment horizontal="center" vertical="center" wrapText="1"/>
    </xf>
    <xf numFmtId="164" fontId="36" fillId="2" borderId="1" xfId="5" applyFont="1" applyFill="1" applyBorder="1" applyAlignment="1">
      <alignment horizontal="center" vertical="center" wrapText="1"/>
    </xf>
    <xf numFmtId="10" fontId="36" fillId="2" borderId="1" xfId="8" applyNumberFormat="1" applyFont="1" applyFill="1" applyBorder="1" applyAlignment="1">
      <alignment horizontal="center" vertical="center" wrapText="1"/>
    </xf>
    <xf numFmtId="0" fontId="38" fillId="2" borderId="1" xfId="0" applyFont="1" applyFill="1" applyBorder="1" applyAlignment="1">
      <alignment vertical="top" wrapText="1"/>
    </xf>
    <xf numFmtId="165" fontId="14" fillId="2" borderId="1" xfId="0" applyNumberFormat="1" applyFont="1" applyFill="1" applyBorder="1" applyAlignment="1">
      <alignment horizontal="center" vertical="center" wrapText="1"/>
    </xf>
    <xf numFmtId="164" fontId="14" fillId="2" borderId="1" xfId="5" applyFont="1" applyFill="1" applyBorder="1" applyAlignment="1">
      <alignment horizontal="center" vertical="center" wrapText="1"/>
    </xf>
    <xf numFmtId="10" fontId="14" fillId="2" borderId="1" xfId="8" applyNumberFormat="1" applyFont="1" applyFill="1" applyBorder="1" applyAlignment="1">
      <alignment horizontal="center" vertical="center" wrapText="1"/>
    </xf>
    <xf numFmtId="0" fontId="26" fillId="2" borderId="1" xfId="0" applyFont="1" applyFill="1" applyBorder="1" applyAlignment="1">
      <alignment horizontal="center" vertical="center" wrapText="1"/>
    </xf>
    <xf numFmtId="1" fontId="14" fillId="2" borderId="1" xfId="0" applyNumberFormat="1" applyFont="1" applyFill="1" applyBorder="1" applyAlignment="1">
      <alignment horizontal="center" vertical="center" wrapText="1"/>
    </xf>
    <xf numFmtId="167" fontId="14" fillId="2" borderId="1" xfId="5" applyNumberFormat="1" applyFont="1" applyFill="1" applyBorder="1" applyAlignment="1">
      <alignment horizontal="center" vertical="center" wrapText="1"/>
    </xf>
    <xf numFmtId="0" fontId="14" fillId="2" borderId="1" xfId="5" applyNumberFormat="1" applyFont="1" applyFill="1" applyBorder="1" applyAlignment="1">
      <alignment horizontal="center" vertical="center" wrapText="1"/>
    </xf>
    <xf numFmtId="2" fontId="14" fillId="2" borderId="1" xfId="5" applyNumberFormat="1" applyFont="1" applyFill="1" applyBorder="1" applyAlignment="1">
      <alignment horizontal="center" vertical="center" wrapText="1"/>
    </xf>
    <xf numFmtId="164" fontId="28" fillId="2" borderId="1" xfId="5" applyFont="1" applyFill="1" applyBorder="1" applyAlignment="1">
      <alignment horizontal="center" vertical="center"/>
    </xf>
    <xf numFmtId="0" fontId="28" fillId="2" borderId="0" xfId="0" applyFont="1" applyFill="1" applyAlignment="1">
      <alignment vertical="top"/>
    </xf>
    <xf numFmtId="164" fontId="28" fillId="2" borderId="0" xfId="5" applyFont="1" applyFill="1" applyAlignment="1">
      <alignment horizontal="center" vertical="center"/>
    </xf>
    <xf numFmtId="164" fontId="36" fillId="2" borderId="3" xfId="5" applyFont="1" applyFill="1" applyBorder="1" applyAlignment="1">
      <alignment horizontal="center" vertical="center" wrapText="1"/>
    </xf>
    <xf numFmtId="0" fontId="26" fillId="2" borderId="1" xfId="0" applyFont="1" applyFill="1" applyBorder="1" applyAlignment="1">
      <alignment horizontal="center" vertical="center"/>
    </xf>
    <xf numFmtId="165" fontId="26" fillId="2" borderId="1" xfId="0" applyNumberFormat="1" applyFont="1" applyFill="1" applyBorder="1" applyAlignment="1">
      <alignment horizontal="center" vertical="center"/>
    </xf>
    <xf numFmtId="10" fontId="28" fillId="2" borderId="1" xfId="8" applyNumberFormat="1" applyFont="1" applyFill="1" applyBorder="1" applyAlignment="1">
      <alignment horizontal="center" vertical="center"/>
    </xf>
    <xf numFmtId="0" fontId="28" fillId="2" borderId="1" xfId="0" applyFont="1" applyFill="1" applyBorder="1" applyAlignment="1">
      <alignment horizontal="center" vertical="center"/>
    </xf>
    <xf numFmtId="0" fontId="28" fillId="2" borderId="0" xfId="0" applyFont="1" applyFill="1" applyAlignment="1">
      <alignment horizontal="center" vertical="center"/>
    </xf>
    <xf numFmtId="10" fontId="28" fillId="2" borderId="0" xfId="8" applyNumberFormat="1" applyFont="1" applyFill="1" applyAlignment="1">
      <alignment horizontal="center" vertical="center"/>
    </xf>
    <xf numFmtId="164" fontId="14" fillId="2" borderId="1" xfId="0" applyNumberFormat="1" applyFont="1" applyFill="1" applyBorder="1" applyAlignment="1">
      <alignment horizontal="center" vertical="top" wrapText="1"/>
    </xf>
    <xf numFmtId="0" fontId="14" fillId="2" borderId="1" xfId="0" applyFont="1" applyFill="1" applyBorder="1" applyAlignment="1">
      <alignment horizontal="center" vertical="top" wrapText="1"/>
    </xf>
    <xf numFmtId="2" fontId="8" fillId="0" borderId="1" xfId="7" applyNumberFormat="1" applyFont="1" applyFill="1" applyBorder="1" applyAlignment="1">
      <alignment horizontal="center" vertical="center" wrapText="1"/>
    </xf>
    <xf numFmtId="0" fontId="9" fillId="0" borderId="1" xfId="0" applyFont="1" applyBorder="1" applyAlignment="1">
      <alignment horizontal="center" vertical="center"/>
    </xf>
    <xf numFmtId="2" fontId="39" fillId="0" borderId="1" xfId="0" applyNumberFormat="1" applyFont="1" applyBorder="1" applyAlignment="1">
      <alignment horizontal="center" vertical="center"/>
    </xf>
    <xf numFmtId="1" fontId="40" fillId="2" borderId="1" xfId="0" applyNumberFormat="1" applyFont="1" applyFill="1" applyBorder="1" applyAlignment="1">
      <alignment horizontal="left" vertical="top" wrapText="1"/>
    </xf>
    <xf numFmtId="0" fontId="39" fillId="0" borderId="1" xfId="0" applyFont="1" applyBorder="1" applyAlignment="1">
      <alignment horizontal="center" vertical="center"/>
    </xf>
    <xf numFmtId="171" fontId="39" fillId="0" borderId="1" xfId="0" applyNumberFormat="1" applyFont="1" applyBorder="1" applyAlignment="1">
      <alignment horizontal="center" vertical="center"/>
    </xf>
    <xf numFmtId="165" fontId="14" fillId="0" borderId="1" xfId="0" applyNumberFormat="1" applyFont="1" applyBorder="1" applyAlignment="1">
      <alignment horizontal="center" vertical="center" wrapText="1"/>
    </xf>
    <xf numFmtId="1" fontId="9" fillId="2" borderId="1" xfId="0" applyNumberFormat="1" applyFont="1" applyFill="1" applyBorder="1" applyAlignment="1">
      <alignment horizontal="center" vertical="center"/>
    </xf>
    <xf numFmtId="0" fontId="14" fillId="2" borderId="4" xfId="0" applyFont="1" applyFill="1" applyBorder="1" applyAlignment="1">
      <alignment horizontal="center" vertical="center" wrapText="1"/>
    </xf>
    <xf numFmtId="0" fontId="28" fillId="2" borderId="1" xfId="0" applyFont="1" applyFill="1" applyBorder="1" applyAlignment="1"/>
    <xf numFmtId="0" fontId="41" fillId="0" borderId="0" xfId="0" applyFont="1" applyAlignment="1"/>
    <xf numFmtId="2" fontId="42" fillId="0" borderId="1" xfId="0" applyNumberFormat="1" applyFont="1" applyBorder="1" applyAlignment="1">
      <alignment horizontal="center" vertical="center"/>
    </xf>
    <xf numFmtId="0" fontId="42" fillId="0" borderId="1" xfId="0" applyFont="1" applyBorder="1" applyAlignment="1">
      <alignment horizontal="center" vertical="center"/>
    </xf>
    <xf numFmtId="0" fontId="42" fillId="0" borderId="1" xfId="0" applyFont="1" applyBorder="1" applyAlignment="1">
      <alignment horizontal="center" vertical="center" wrapText="1"/>
    </xf>
    <xf numFmtId="0" fontId="42" fillId="0" borderId="13" xfId="0" applyFont="1" applyBorder="1" applyAlignment="1">
      <alignment horizontal="center" vertical="center" wrapText="1"/>
    </xf>
    <xf numFmtId="2" fontId="16" fillId="2" borderId="1" xfId="0" applyNumberFormat="1" applyFont="1" applyFill="1" applyBorder="1" applyAlignment="1">
      <alignment horizontal="center" vertical="center" wrapText="1" readingOrder="2"/>
    </xf>
    <xf numFmtId="1" fontId="40" fillId="2" borderId="1" xfId="0" applyNumberFormat="1" applyFont="1" applyFill="1" applyBorder="1" applyAlignment="1">
      <alignment horizontal="left" vertical="center" wrapText="1"/>
    </xf>
    <xf numFmtId="0" fontId="39" fillId="0" borderId="1" xfId="0" applyFont="1" applyBorder="1" applyAlignment="1">
      <alignment horizontal="center" vertical="center" wrapText="1"/>
    </xf>
    <xf numFmtId="1" fontId="16" fillId="2" borderId="1" xfId="0" applyNumberFormat="1" applyFont="1" applyFill="1" applyBorder="1" applyAlignment="1">
      <alignment horizontal="center" vertical="top" wrapText="1"/>
    </xf>
    <xf numFmtId="0" fontId="16" fillId="2" borderId="1" xfId="0" applyFont="1" applyFill="1" applyBorder="1" applyAlignment="1">
      <alignment horizontal="center" vertical="center" wrapText="1"/>
    </xf>
    <xf numFmtId="0" fontId="41" fillId="0" borderId="1" xfId="0" applyFont="1" applyBorder="1" applyAlignment="1">
      <alignment horizontal="center" vertical="center"/>
    </xf>
    <xf numFmtId="0" fontId="41" fillId="0" borderId="13" xfId="0" applyFont="1" applyBorder="1" applyAlignment="1">
      <alignment horizontal="center" vertical="center"/>
    </xf>
    <xf numFmtId="2" fontId="41" fillId="0" borderId="0" xfId="0" applyNumberFormat="1" applyFont="1" applyAlignment="1">
      <alignment horizontal="center" vertical="center"/>
    </xf>
    <xf numFmtId="0" fontId="39" fillId="0" borderId="0" xfId="0" applyFont="1" applyAlignment="1">
      <alignment horizontal="center" vertical="center"/>
    </xf>
    <xf numFmtId="0" fontId="41" fillId="0" borderId="0" xfId="0" applyFont="1" applyAlignment="1">
      <alignment horizontal="center" vertical="center"/>
    </xf>
    <xf numFmtId="0" fontId="10" fillId="2" borderId="1" xfId="0" applyFont="1" applyFill="1" applyBorder="1" applyAlignment="1">
      <alignment horizontal="center" vertical="center" wrapText="1"/>
    </xf>
    <xf numFmtId="165" fontId="12" fillId="2" borderId="15" xfId="0" applyNumberFormat="1" applyFont="1" applyFill="1" applyBorder="1" applyAlignment="1">
      <alignment horizontal="center" vertical="center" wrapText="1"/>
    </xf>
    <xf numFmtId="165" fontId="12" fillId="2" borderId="1" xfId="0" applyNumberFormat="1" applyFont="1" applyFill="1" applyBorder="1" applyAlignment="1">
      <alignment horizontal="center" vertical="center" wrapText="1"/>
    </xf>
    <xf numFmtId="1" fontId="9" fillId="2" borderId="18" xfId="0" applyNumberFormat="1" applyFont="1" applyFill="1" applyBorder="1" applyAlignment="1">
      <alignment horizontal="center" vertical="center" wrapText="1"/>
    </xf>
    <xf numFmtId="1" fontId="0" fillId="2" borderId="0" xfId="0" applyNumberFormat="1" applyFill="1" applyAlignment="1">
      <alignment horizontal="center" vertical="center"/>
    </xf>
    <xf numFmtId="1" fontId="0" fillId="2" borderId="22" xfId="0" applyNumberFormat="1" applyFill="1" applyBorder="1" applyAlignment="1">
      <alignment horizontal="center" vertical="center"/>
    </xf>
    <xf numFmtId="165" fontId="5" fillId="2" borderId="15" xfId="0" applyNumberFormat="1" applyFont="1" applyFill="1" applyBorder="1" applyAlignment="1">
      <alignment horizontal="center" vertical="center" wrapText="1"/>
    </xf>
    <xf numFmtId="165" fontId="5" fillId="2" borderId="1" xfId="0" applyNumberFormat="1" applyFont="1" applyFill="1" applyBorder="1" applyAlignment="1">
      <alignment horizontal="center" vertical="center" wrapText="1"/>
    </xf>
    <xf numFmtId="1" fontId="5" fillId="2" borderId="15" xfId="0" applyNumberFormat="1" applyFont="1" applyFill="1" applyBorder="1" applyAlignment="1">
      <alignment horizontal="center" vertical="center" wrapText="1"/>
    </xf>
    <xf numFmtId="1" fontId="0" fillId="2" borderId="18" xfId="0" applyNumberFormat="1" applyFill="1" applyBorder="1" applyAlignment="1">
      <alignment horizontal="center" vertical="center"/>
    </xf>
    <xf numFmtId="165" fontId="9" fillId="3" borderId="1" xfId="0" applyNumberFormat="1" applyFont="1" applyFill="1" applyBorder="1" applyAlignment="1">
      <alignment horizontal="center" vertical="center" wrapText="1"/>
    </xf>
    <xf numFmtId="165" fontId="14" fillId="2" borderId="1" xfId="7" applyNumberFormat="1" applyFont="1" applyFill="1" applyBorder="1" applyAlignment="1">
      <alignment horizontal="center" vertical="center" wrapText="1"/>
    </xf>
    <xf numFmtId="165" fontId="39" fillId="0" borderId="1" xfId="0" applyNumberFormat="1" applyFont="1" applyBorder="1" applyAlignment="1">
      <alignment horizontal="center" vertical="center"/>
    </xf>
    <xf numFmtId="1" fontId="5" fillId="3" borderId="15" xfId="0" applyNumberFormat="1" applyFont="1" applyFill="1" applyBorder="1" applyAlignment="1">
      <alignment horizontal="center" vertical="center" wrapText="1"/>
    </xf>
    <xf numFmtId="1" fontId="5" fillId="3" borderId="1" xfId="0" applyNumberFormat="1" applyFont="1" applyFill="1" applyBorder="1" applyAlignment="1">
      <alignment horizontal="center" vertical="center" wrapText="1"/>
    </xf>
    <xf numFmtId="1" fontId="9" fillId="3" borderId="1" xfId="0" applyNumberFormat="1" applyFont="1" applyFill="1" applyBorder="1" applyAlignment="1">
      <alignment horizontal="center" vertical="center" wrapText="1"/>
    </xf>
    <xf numFmtId="1" fontId="14" fillId="2" borderId="1" xfId="7" applyNumberFormat="1" applyFont="1" applyFill="1" applyBorder="1" applyAlignment="1">
      <alignment horizontal="center" vertical="center" wrapText="1"/>
    </xf>
    <xf numFmtId="1" fontId="39" fillId="0" borderId="1" xfId="0" applyNumberFormat="1" applyFont="1" applyBorder="1" applyAlignment="1">
      <alignment horizontal="center" vertical="center"/>
    </xf>
    <xf numFmtId="1" fontId="5" fillId="3" borderId="1" xfId="0" applyNumberFormat="1" applyFont="1" applyFill="1" applyBorder="1" applyAlignment="1">
      <alignment horizontal="right" shrinkToFit="1"/>
    </xf>
    <xf numFmtId="1" fontId="0" fillId="3" borderId="18" xfId="0" applyNumberFormat="1" applyFill="1" applyBorder="1" applyAlignment="1">
      <alignment horizontal="center" vertical="center"/>
    </xf>
    <xf numFmtId="1" fontId="0" fillId="3" borderId="0" xfId="0" applyNumberFormat="1" applyFill="1" applyAlignment="1">
      <alignment horizontal="center" vertical="center"/>
    </xf>
    <xf numFmtId="1" fontId="0" fillId="3" borderId="22" xfId="0" applyNumberFormat="1" applyFill="1" applyBorder="1" applyAlignment="1">
      <alignment horizontal="center" vertical="center"/>
    </xf>
    <xf numFmtId="165" fontId="14" fillId="0" borderId="1" xfId="10" applyNumberFormat="1" applyFont="1" applyFill="1" applyBorder="1" applyAlignment="1">
      <alignment horizontal="center" vertical="center" wrapText="1"/>
    </xf>
    <xf numFmtId="165" fontId="14" fillId="0" borderId="1" xfId="7" applyNumberFormat="1" applyFont="1" applyFill="1" applyBorder="1" applyAlignment="1">
      <alignment horizontal="center" vertical="center" wrapText="1"/>
    </xf>
    <xf numFmtId="165" fontId="26" fillId="0" borderId="1" xfId="0" applyNumberFormat="1" applyFont="1" applyBorder="1" applyAlignment="1">
      <alignment horizontal="center" vertical="center"/>
    </xf>
    <xf numFmtId="165" fontId="26" fillId="0" borderId="1" xfId="0" applyNumberFormat="1" applyFont="1" applyBorder="1" applyAlignment="1"/>
    <xf numFmtId="165" fontId="14" fillId="0" borderId="1" xfId="8" applyNumberFormat="1" applyFont="1" applyFill="1" applyBorder="1" applyAlignment="1">
      <alignment horizontal="center" vertical="center" wrapText="1"/>
    </xf>
    <xf numFmtId="1" fontId="0" fillId="2" borderId="1" xfId="0" applyNumberFormat="1" applyFill="1" applyBorder="1" applyAlignment="1"/>
    <xf numFmtId="1" fontId="28" fillId="2" borderId="1" xfId="0" applyNumberFormat="1" applyFont="1" applyFill="1" applyBorder="1">
      <alignment vertical="center"/>
    </xf>
    <xf numFmtId="1" fontId="19" fillId="0" borderId="1" xfId="7" applyNumberFormat="1" applyFont="1" applyBorder="1" applyAlignment="1">
      <alignment horizontal="center" vertical="center"/>
    </xf>
    <xf numFmtId="172" fontId="38" fillId="2" borderId="1" xfId="5" applyNumberFormat="1" applyFont="1" applyFill="1" applyBorder="1" applyAlignment="1">
      <alignment horizontal="center" vertical="center" wrapText="1"/>
    </xf>
    <xf numFmtId="172" fontId="36" fillId="2" borderId="1" xfId="5" applyNumberFormat="1" applyFont="1" applyFill="1" applyBorder="1" applyAlignment="1">
      <alignment horizontal="center" vertical="center" wrapText="1"/>
    </xf>
    <xf numFmtId="172" fontId="28" fillId="2" borderId="1" xfId="5" applyNumberFormat="1" applyFont="1" applyFill="1" applyBorder="1" applyAlignment="1">
      <alignment horizontal="center" vertical="center"/>
    </xf>
    <xf numFmtId="172" fontId="14" fillId="2" borderId="1" xfId="5" applyNumberFormat="1" applyFont="1" applyFill="1" applyBorder="1" applyAlignment="1">
      <alignment horizontal="center" vertical="center" wrapText="1"/>
    </xf>
    <xf numFmtId="172" fontId="20" fillId="2" borderId="1" xfId="0" applyNumberFormat="1" applyFont="1" applyFill="1" applyBorder="1" applyAlignment="1">
      <alignment horizontal="center" vertical="center"/>
    </xf>
    <xf numFmtId="172" fontId="28" fillId="2" borderId="1" xfId="0" applyNumberFormat="1" applyFont="1" applyFill="1" applyBorder="1" applyAlignment="1">
      <alignment horizontal="center" vertical="center"/>
    </xf>
    <xf numFmtId="172" fontId="28" fillId="2" borderId="0" xfId="5" applyNumberFormat="1" applyFont="1" applyFill="1" applyAlignment="1">
      <alignment horizontal="center" vertical="center"/>
    </xf>
    <xf numFmtId="173" fontId="42" fillId="0" borderId="1" xfId="0" applyNumberFormat="1" applyFont="1" applyBorder="1" applyAlignment="1">
      <alignment horizontal="center" vertical="center"/>
    </xf>
    <xf numFmtId="173" fontId="39" fillId="0" borderId="1" xfId="0" applyNumberFormat="1" applyFont="1" applyBorder="1" applyAlignment="1">
      <alignment horizontal="center" vertical="center"/>
    </xf>
    <xf numFmtId="173" fontId="41" fillId="0" borderId="0" xfId="0" applyNumberFormat="1" applyFont="1" applyAlignment="1">
      <alignment horizontal="center" vertical="center"/>
    </xf>
    <xf numFmtId="2" fontId="43" fillId="0" borderId="1" xfId="0" applyNumberFormat="1" applyFont="1" applyBorder="1" applyAlignment="1">
      <alignment horizontal="center" vertical="center"/>
    </xf>
    <xf numFmtId="0" fontId="44" fillId="0" borderId="1" xfId="0" applyFont="1" applyBorder="1" applyAlignment="1"/>
    <xf numFmtId="173" fontId="44" fillId="0" borderId="1" xfId="0" applyNumberFormat="1" applyFont="1" applyBorder="1" applyAlignment="1"/>
    <xf numFmtId="173" fontId="43" fillId="0" borderId="1" xfId="0" applyNumberFormat="1" applyFont="1" applyBorder="1" applyAlignment="1">
      <alignment horizontal="center" vertical="center"/>
    </xf>
    <xf numFmtId="0" fontId="43" fillId="0" borderId="1" xfId="0" applyFont="1" applyBorder="1" applyAlignment="1">
      <alignment horizontal="center" vertical="center"/>
    </xf>
    <xf numFmtId="0" fontId="45" fillId="0" borderId="1" xfId="0" applyFont="1" applyBorder="1" applyAlignment="1">
      <alignment horizontal="center" vertical="center"/>
    </xf>
    <xf numFmtId="165" fontId="16" fillId="2" borderId="1" xfId="0" applyNumberFormat="1" applyFont="1" applyFill="1" applyBorder="1" applyAlignment="1">
      <alignment horizontal="center" vertical="center" wrapText="1"/>
    </xf>
    <xf numFmtId="0" fontId="10" fillId="2" borderId="26" xfId="0" applyFont="1" applyFill="1" applyBorder="1" applyAlignment="1">
      <alignment horizontal="center" vertical="center" wrapText="1"/>
    </xf>
    <xf numFmtId="0" fontId="36" fillId="2" borderId="1" xfId="0" applyFont="1" applyFill="1" applyBorder="1" applyAlignment="1">
      <alignment horizontal="center" vertical="center" wrapText="1"/>
    </xf>
    <xf numFmtId="172" fontId="8" fillId="2" borderId="1" xfId="5" applyNumberFormat="1" applyFont="1" applyFill="1" applyBorder="1" applyAlignment="1">
      <alignment horizontal="center" vertical="center" wrapText="1"/>
    </xf>
    <xf numFmtId="2" fontId="41" fillId="0" borderId="1" xfId="0" applyNumberFormat="1" applyFont="1" applyBorder="1" applyAlignment="1">
      <alignment horizontal="center" vertical="center"/>
    </xf>
    <xf numFmtId="0" fontId="41" fillId="0" borderId="1" xfId="0" applyFont="1" applyBorder="1" applyAlignment="1"/>
    <xf numFmtId="0" fontId="47" fillId="0" borderId="0" xfId="1" applyFont="1" applyAlignment="1"/>
    <xf numFmtId="0" fontId="47" fillId="0" borderId="1" xfId="1" applyFont="1" applyBorder="1" applyAlignment="1">
      <alignment horizontal="center" vertical="center"/>
    </xf>
    <xf numFmtId="0" fontId="47" fillId="0" borderId="1" xfId="1" applyFont="1" applyBorder="1" applyAlignment="1"/>
    <xf numFmtId="1" fontId="48" fillId="2" borderId="1" xfId="1" applyNumberFormat="1" applyFont="1" applyFill="1" applyBorder="1" applyAlignment="1">
      <alignment horizontal="center" vertical="center"/>
    </xf>
    <xf numFmtId="164" fontId="31" fillId="2" borderId="1" xfId="7" applyFont="1" applyFill="1" applyBorder="1" applyAlignment="1">
      <alignment horizontal="center" vertical="center" wrapText="1"/>
    </xf>
    <xf numFmtId="2" fontId="48" fillId="2" borderId="1" xfId="1" applyNumberFormat="1" applyFont="1" applyFill="1" applyBorder="1" applyAlignment="1">
      <alignment horizontal="center" vertical="center"/>
    </xf>
    <xf numFmtId="2" fontId="6" fillId="2" borderId="1" xfId="1" applyNumberFormat="1" applyFont="1" applyFill="1" applyBorder="1" applyAlignment="1">
      <alignment horizontal="center" vertical="center" wrapText="1"/>
    </xf>
    <xf numFmtId="2" fontId="49" fillId="2" borderId="1" xfId="1" applyNumberFormat="1" applyFont="1" applyFill="1" applyBorder="1" applyAlignment="1">
      <alignment horizontal="center" vertical="top" wrapText="1"/>
    </xf>
    <xf numFmtId="0" fontId="39" fillId="0" borderId="1" xfId="0" applyFont="1" applyBorder="1" applyAlignment="1">
      <alignment vertical="center" wrapText="1"/>
    </xf>
    <xf numFmtId="173" fontId="39" fillId="0" borderId="1" xfId="0" applyNumberFormat="1" applyFont="1" applyBorder="1" applyAlignment="1">
      <alignment vertical="center" wrapText="1"/>
    </xf>
    <xf numFmtId="171" fontId="39" fillId="0" borderId="4" xfId="0" applyNumberFormat="1" applyFont="1" applyBorder="1">
      <alignment vertical="center"/>
    </xf>
    <xf numFmtId="1" fontId="6" fillId="2" borderId="2" xfId="0" applyNumberFormat="1" applyFont="1" applyFill="1" applyBorder="1" applyAlignment="1">
      <alignment horizontal="center" vertical="center" wrapText="1"/>
    </xf>
    <xf numFmtId="171" fontId="39" fillId="0" borderId="1" xfId="0" applyNumberFormat="1" applyFont="1" applyBorder="1">
      <alignment vertical="center"/>
    </xf>
    <xf numFmtId="1" fontId="15" fillId="2" borderId="2" xfId="0" applyNumberFormat="1" applyFont="1" applyFill="1" applyBorder="1" applyAlignment="1">
      <alignment horizontal="center" vertical="center" wrapText="1"/>
    </xf>
    <xf numFmtId="1" fontId="7" fillId="2" borderId="1" xfId="0" applyNumberFormat="1" applyFont="1" applyFill="1" applyBorder="1" applyAlignment="1">
      <alignment horizontal="center" vertical="center" wrapText="1"/>
    </xf>
    <xf numFmtId="2" fontId="16" fillId="2" borderId="1" xfId="0" applyNumberFormat="1" applyFont="1" applyFill="1" applyBorder="1" applyAlignment="1">
      <alignment horizontal="center" vertical="center" wrapText="1"/>
    </xf>
    <xf numFmtId="2" fontId="68" fillId="2" borderId="1" xfId="0" applyNumberFormat="1" applyFont="1" applyFill="1" applyBorder="1" applyAlignment="1">
      <alignment horizontal="center" vertical="center" wrapText="1" readingOrder="2"/>
    </xf>
    <xf numFmtId="1" fontId="31" fillId="2" borderId="1" xfId="0" applyNumberFormat="1" applyFont="1" applyFill="1" applyBorder="1" applyAlignment="1">
      <alignment horizontal="center" vertical="center" wrapText="1"/>
    </xf>
    <xf numFmtId="2" fontId="6" fillId="2" borderId="1" xfId="0" applyNumberFormat="1" applyFont="1" applyFill="1" applyBorder="1" applyAlignment="1">
      <alignment horizontal="center" vertical="center" wrapText="1"/>
    </xf>
    <xf numFmtId="2" fontId="46" fillId="2" borderId="1" xfId="0" applyNumberFormat="1" applyFont="1" applyFill="1" applyBorder="1" applyAlignment="1">
      <alignment horizontal="center" vertical="center" wrapText="1" readingOrder="2"/>
    </xf>
    <xf numFmtId="2" fontId="31" fillId="2" borderId="1" xfId="0" applyNumberFormat="1" applyFont="1" applyFill="1" applyBorder="1" applyAlignment="1">
      <alignment horizontal="center" vertical="center" wrapText="1"/>
    </xf>
    <xf numFmtId="2" fontId="31" fillId="2" borderId="1" xfId="12" applyNumberFormat="1" applyFont="1" applyFill="1" applyBorder="1" applyAlignment="1">
      <alignment horizontal="center" vertical="center" wrapText="1"/>
    </xf>
    <xf numFmtId="10" fontId="47" fillId="0" borderId="1" xfId="0" applyNumberFormat="1" applyFont="1" applyBorder="1" applyAlignment="1"/>
    <xf numFmtId="169" fontId="31" fillId="0" borderId="1" xfId="0" applyNumberFormat="1" applyFont="1" applyBorder="1">
      <alignment vertical="center"/>
    </xf>
    <xf numFmtId="1" fontId="31" fillId="0" borderId="1" xfId="0" applyNumberFormat="1" applyFont="1" applyBorder="1">
      <alignment vertical="center"/>
    </xf>
    <xf numFmtId="0" fontId="47" fillId="0" borderId="0" xfId="0" applyFont="1" applyAlignment="1"/>
    <xf numFmtId="1" fontId="31" fillId="2" borderId="1" xfId="0" applyNumberFormat="1" applyFont="1" applyFill="1" applyBorder="1" applyAlignment="1">
      <alignment horizontal="center" vertical="top" wrapText="1"/>
    </xf>
    <xf numFmtId="1" fontId="9" fillId="0" borderId="3" xfId="0" applyNumberFormat="1" applyFont="1" applyBorder="1" applyAlignment="1">
      <alignment horizontal="center" vertical="center" wrapText="1"/>
    </xf>
    <xf numFmtId="1" fontId="9" fillId="0" borderId="4" xfId="0" applyNumberFormat="1" applyFont="1" applyBorder="1" applyAlignment="1">
      <alignment horizontal="center" vertical="center" wrapText="1"/>
    </xf>
    <xf numFmtId="1" fontId="31" fillId="0" borderId="1" xfId="1" applyNumberFormat="1" applyFont="1" applyBorder="1">
      <alignment vertical="center"/>
    </xf>
    <xf numFmtId="165" fontId="9" fillId="0" borderId="3" xfId="0" applyNumberFormat="1" applyFont="1" applyBorder="1" applyAlignment="1">
      <alignment horizontal="center" vertical="center" wrapText="1"/>
    </xf>
    <xf numFmtId="165" fontId="9" fillId="2" borderId="4" xfId="0" applyNumberFormat="1" applyFont="1" applyFill="1" applyBorder="1" applyAlignment="1">
      <alignment horizontal="center" vertical="center" wrapText="1"/>
    </xf>
    <xf numFmtId="165" fontId="9" fillId="2" borderId="15" xfId="0" applyNumberFormat="1" applyFont="1" applyFill="1" applyBorder="1" applyAlignment="1">
      <alignment horizontal="center" vertical="center" wrapText="1"/>
    </xf>
    <xf numFmtId="0" fontId="0" fillId="2" borderId="42" xfId="0" applyFill="1" applyBorder="1" applyAlignment="1"/>
    <xf numFmtId="0" fontId="47" fillId="0" borderId="1" xfId="0" applyFont="1" applyBorder="1" applyAlignment="1"/>
    <xf numFmtId="1" fontId="12" fillId="2" borderId="1" xfId="0" applyNumberFormat="1" applyFont="1" applyFill="1" applyBorder="1" applyAlignment="1">
      <alignment horizontal="center" vertical="center"/>
    </xf>
    <xf numFmtId="0" fontId="34" fillId="0" borderId="8" xfId="0" applyFont="1" applyBorder="1" applyAlignment="1">
      <alignment horizontal="center" vertical="center"/>
    </xf>
    <xf numFmtId="165" fontId="8" fillId="2" borderId="1" xfId="0" applyNumberFormat="1" applyFont="1" applyFill="1" applyBorder="1" applyAlignment="1">
      <alignment vertical="top" wrapText="1"/>
    </xf>
    <xf numFmtId="1" fontId="69" fillId="2" borderId="0" xfId="0" applyNumberFormat="1" applyFont="1" applyFill="1" applyAlignment="1"/>
    <xf numFmtId="169" fontId="69" fillId="2" borderId="0" xfId="0" applyNumberFormat="1" applyFont="1" applyFill="1" applyAlignment="1"/>
    <xf numFmtId="173" fontId="39" fillId="0" borderId="4" xfId="0" applyNumberFormat="1" applyFont="1" applyBorder="1" applyAlignment="1">
      <alignment horizontal="center" vertical="center"/>
    </xf>
    <xf numFmtId="1" fontId="69" fillId="2" borderId="1" xfId="0" applyNumberFormat="1" applyFont="1" applyFill="1" applyBorder="1" applyAlignment="1"/>
    <xf numFmtId="169" fontId="69" fillId="2" borderId="1" xfId="0" applyNumberFormat="1" applyFont="1" applyFill="1" applyBorder="1" applyAlignment="1"/>
    <xf numFmtId="170" fontId="0" fillId="0" borderId="0" xfId="0" applyNumberFormat="1" applyAlignment="1"/>
    <xf numFmtId="2" fontId="19" fillId="0" borderId="1" xfId="12" applyNumberFormat="1" applyFont="1" applyBorder="1" applyAlignment="1">
      <alignment horizontal="center" vertical="center"/>
    </xf>
    <xf numFmtId="0" fontId="71" fillId="2" borderId="0" xfId="0" applyFont="1" applyFill="1" applyAlignment="1"/>
    <xf numFmtId="0" fontId="41" fillId="0" borderId="4" xfId="0" applyFont="1" applyBorder="1" applyAlignment="1">
      <alignment horizontal="center" vertical="center"/>
    </xf>
    <xf numFmtId="0" fontId="39" fillId="0" borderId="2" xfId="0" applyFont="1" applyBorder="1" applyAlignment="1">
      <alignment horizontal="center" vertical="center" wrapText="1"/>
    </xf>
    <xf numFmtId="1" fontId="72" fillId="0" borderId="1" xfId="0" applyNumberFormat="1" applyFont="1" applyBorder="1" applyAlignment="1">
      <alignment horizontal="center" vertical="center" wrapText="1"/>
    </xf>
    <xf numFmtId="0" fontId="14" fillId="0" borderId="1" xfId="9" applyFont="1" applyBorder="1" applyAlignment="1">
      <alignment vertical="top" wrapText="1"/>
    </xf>
    <xf numFmtId="0" fontId="14" fillId="0" borderId="1" xfId="9" applyFont="1" applyBorder="1" applyAlignment="1">
      <alignment horizontal="center" vertical="center" wrapText="1"/>
    </xf>
    <xf numFmtId="2" fontId="9" fillId="0" borderId="1" xfId="0" applyNumberFormat="1" applyFont="1" applyBorder="1" applyAlignment="1">
      <alignment horizontal="center" vertical="center" wrapText="1"/>
    </xf>
    <xf numFmtId="0" fontId="21" fillId="0" borderId="1" xfId="0" applyFont="1" applyBorder="1" applyAlignment="1">
      <alignment horizontal="center" vertical="center" wrapText="1"/>
    </xf>
    <xf numFmtId="0" fontId="9" fillId="0" borderId="1" xfId="0" applyFont="1" applyBorder="1" applyAlignment="1">
      <alignment horizontal="left" vertical="center" wrapText="1"/>
    </xf>
    <xf numFmtId="169" fontId="9" fillId="0" borderId="1" xfId="0" applyNumberFormat="1" applyFont="1" applyBorder="1" applyAlignment="1">
      <alignment horizontal="center" vertical="center" wrapText="1"/>
    </xf>
    <xf numFmtId="0" fontId="0" fillId="0" borderId="1" xfId="0" applyBorder="1" applyAlignment="1">
      <alignment vertical="top"/>
    </xf>
    <xf numFmtId="0" fontId="0" fillId="0" borderId="1" xfId="0" applyBorder="1" applyAlignment="1">
      <alignment horizontal="center" vertical="center"/>
    </xf>
    <xf numFmtId="165" fontId="24" fillId="0" borderId="1" xfId="0" applyNumberFormat="1" applyFont="1" applyBorder="1" applyAlignment="1">
      <alignment vertical="top" wrapText="1"/>
    </xf>
    <xf numFmtId="0" fontId="25" fillId="0" borderId="1" xfId="0" applyFont="1" applyBorder="1" applyAlignment="1">
      <alignment horizontal="center" vertical="center" wrapText="1"/>
    </xf>
    <xf numFmtId="2" fontId="24" fillId="0" borderId="1" xfId="0" applyNumberFormat="1" applyFont="1" applyBorder="1" applyAlignment="1">
      <alignment vertical="top" wrapText="1"/>
    </xf>
    <xf numFmtId="165" fontId="25" fillId="0" borderId="1" xfId="0" applyNumberFormat="1" applyFont="1" applyBorder="1" applyAlignment="1">
      <alignment horizontal="center" vertical="center" wrapText="1"/>
    </xf>
    <xf numFmtId="165" fontId="9" fillId="0" borderId="1" xfId="0" applyNumberFormat="1" applyFont="1" applyBorder="1" applyAlignment="1">
      <alignment horizontal="left" vertical="center" wrapText="1"/>
    </xf>
    <xf numFmtId="165" fontId="9" fillId="0" borderId="1" xfId="0" applyNumberFormat="1" applyFont="1" applyBorder="1" applyAlignment="1">
      <alignment horizontal="center" vertical="center"/>
    </xf>
    <xf numFmtId="0" fontId="8" fillId="0" borderId="1" xfId="0" applyFont="1" applyBorder="1" applyAlignment="1">
      <alignment vertical="top"/>
    </xf>
    <xf numFmtId="2" fontId="26" fillId="0" borderId="2" xfId="0" applyNumberFormat="1" applyFont="1" applyBorder="1" applyAlignment="1">
      <alignment horizontal="center" vertical="center" wrapText="1"/>
    </xf>
    <xf numFmtId="0" fontId="26" fillId="0" borderId="2" xfId="0" applyFont="1" applyBorder="1" applyAlignment="1">
      <alignment horizontal="center" vertical="center" wrapText="1"/>
    </xf>
    <xf numFmtId="166" fontId="14" fillId="0" borderId="1" xfId="0" applyNumberFormat="1" applyFont="1" applyBorder="1" applyAlignment="1">
      <alignment vertical="top" wrapText="1"/>
    </xf>
    <xf numFmtId="1" fontId="6" fillId="0" borderId="1" xfId="1" applyNumberFormat="1" applyFont="1" applyBorder="1" applyAlignment="1">
      <alignment horizontal="left" vertical="center" wrapText="1"/>
    </xf>
    <xf numFmtId="0" fontId="6" fillId="0" borderId="1" xfId="1" applyFont="1" applyBorder="1" applyAlignment="1">
      <alignment horizontal="center" vertical="center" wrapText="1"/>
    </xf>
    <xf numFmtId="1" fontId="6" fillId="0" borderId="1" xfId="1" applyNumberFormat="1" applyFont="1" applyBorder="1" applyAlignment="1">
      <alignment horizontal="center" vertical="center" wrapText="1"/>
    </xf>
    <xf numFmtId="166" fontId="26" fillId="0" borderId="2" xfId="0" applyNumberFormat="1" applyFont="1" applyBorder="1" applyAlignment="1">
      <alignment vertical="center" wrapText="1"/>
    </xf>
    <xf numFmtId="0" fontId="27" fillId="0" borderId="1" xfId="0" applyFont="1" applyBorder="1" applyAlignment="1"/>
    <xf numFmtId="1" fontId="6" fillId="0" borderId="2" xfId="1" applyNumberFormat="1" applyFont="1" applyBorder="1" applyAlignment="1">
      <alignment horizontal="left" vertical="center" wrapText="1"/>
    </xf>
    <xf numFmtId="0" fontId="6" fillId="0" borderId="3" xfId="1" applyFont="1" applyBorder="1" applyAlignment="1">
      <alignment horizontal="center" vertical="center" wrapText="1"/>
    </xf>
    <xf numFmtId="1" fontId="6" fillId="0" borderId="3" xfId="1" applyNumberFormat="1" applyFont="1" applyBorder="1" applyAlignment="1">
      <alignment horizontal="center" vertical="center" wrapText="1"/>
    </xf>
    <xf numFmtId="1" fontId="6" fillId="0" borderId="1" xfId="1" applyNumberFormat="1" applyFont="1" applyBorder="1" applyAlignment="1">
      <alignment horizontal="left" vertical="top" wrapText="1"/>
    </xf>
    <xf numFmtId="1" fontId="31" fillId="0" borderId="1" xfId="1" applyNumberFormat="1" applyFont="1" applyBorder="1" applyAlignment="1">
      <alignment horizontal="center" vertical="center" wrapText="1"/>
    </xf>
    <xf numFmtId="0" fontId="39" fillId="0" borderId="1" xfId="0" applyFont="1" applyBorder="1" applyAlignment="1">
      <alignment horizontal="right" wrapText="1"/>
    </xf>
    <xf numFmtId="1" fontId="18" fillId="2" borderId="1" xfId="70" applyNumberFormat="1" applyFont="1" applyFill="1" applyBorder="1" applyAlignment="1">
      <alignment horizontal="left" vertical="top" wrapText="1"/>
    </xf>
    <xf numFmtId="2" fontId="29" fillId="2" borderId="1" xfId="70" applyNumberFormat="1" applyFont="1" applyFill="1" applyBorder="1" applyAlignment="1">
      <alignment horizontal="center" vertical="center" wrapText="1"/>
    </xf>
    <xf numFmtId="165" fontId="29" fillId="2" borderId="1" xfId="70" applyNumberFormat="1" applyFont="1" applyFill="1" applyBorder="1" applyAlignment="1">
      <alignment horizontal="center" vertical="center" wrapText="1"/>
    </xf>
    <xf numFmtId="1" fontId="29" fillId="2" borderId="1" xfId="70" applyNumberFormat="1" applyFont="1" applyFill="1" applyBorder="1" applyAlignment="1">
      <alignment horizontal="center" vertical="center" wrapText="1"/>
    </xf>
    <xf numFmtId="2" fontId="29" fillId="2" borderId="1" xfId="70" applyNumberFormat="1" applyFont="1" applyFill="1" applyBorder="1" applyAlignment="1">
      <alignment horizontal="center" vertical="center"/>
    </xf>
    <xf numFmtId="1" fontId="29" fillId="2" borderId="1" xfId="70" applyNumberFormat="1" applyFont="1" applyFill="1" applyBorder="1" applyAlignment="1">
      <alignment horizontal="center" vertical="center"/>
    </xf>
    <xf numFmtId="1" fontId="29" fillId="2" borderId="1" xfId="70" applyNumberFormat="1" applyFont="1" applyFill="1" applyBorder="1" applyAlignment="1">
      <alignment horizontal="left" vertical="top" wrapText="1"/>
    </xf>
    <xf numFmtId="1" fontId="29" fillId="0" borderId="1" xfId="70" applyNumberFormat="1" applyFont="1" applyBorder="1" applyAlignment="1">
      <alignment horizontal="center" vertical="center" wrapText="1"/>
    </xf>
    <xf numFmtId="1" fontId="29" fillId="0" borderId="1" xfId="70" applyNumberFormat="1" applyFont="1" applyBorder="1" applyAlignment="1">
      <alignment horizontal="left" vertical="center" wrapText="1"/>
    </xf>
    <xf numFmtId="1" fontId="29" fillId="27" borderId="1" xfId="70" applyNumberFormat="1" applyFont="1" applyFill="1" applyBorder="1" applyAlignment="1">
      <alignment horizontal="center" vertical="center" wrapText="1"/>
    </xf>
    <xf numFmtId="1" fontId="18" fillId="0" borderId="1" xfId="70" applyNumberFormat="1" applyFont="1" applyBorder="1" applyAlignment="1">
      <alignment horizontal="left" vertical="center" wrapText="1"/>
    </xf>
    <xf numFmtId="1" fontId="18" fillId="0" borderId="1" xfId="70" applyNumberFormat="1" applyFont="1" applyBorder="1" applyAlignment="1">
      <alignment horizontal="center" vertical="center" wrapText="1"/>
    </xf>
    <xf numFmtId="2" fontId="18" fillId="0" borderId="1" xfId="7" applyNumberFormat="1" applyFont="1" applyBorder="1" applyAlignment="1">
      <alignment horizontal="center" vertical="center" wrapText="1"/>
    </xf>
    <xf numFmtId="2" fontId="18" fillId="0" borderId="1" xfId="7" applyNumberFormat="1" applyFont="1" applyFill="1" applyBorder="1" applyAlignment="1">
      <alignment horizontal="center" vertical="center" wrapText="1"/>
    </xf>
    <xf numFmtId="2" fontId="18" fillId="0" borderId="1" xfId="7" applyNumberFormat="1" applyFont="1" applyFill="1" applyBorder="1" applyAlignment="1">
      <alignment horizontal="right" vertical="center" wrapText="1"/>
    </xf>
    <xf numFmtId="0" fontId="18" fillId="0" borderId="1" xfId="70" applyFont="1" applyBorder="1" applyAlignment="1">
      <alignment horizontal="center"/>
    </xf>
    <xf numFmtId="0" fontId="18" fillId="0" borderId="1" xfId="70" applyFont="1" applyBorder="1" applyAlignment="1"/>
    <xf numFmtId="2" fontId="18" fillId="0" borderId="1" xfId="7" applyNumberFormat="1" applyFont="1" applyBorder="1" applyAlignment="1">
      <alignment horizontal="center" vertical="center"/>
    </xf>
    <xf numFmtId="9" fontId="18" fillId="0" borderId="1" xfId="70" applyNumberFormat="1" applyFont="1" applyBorder="1" applyAlignment="1">
      <alignment horizontal="center"/>
    </xf>
    <xf numFmtId="0" fontId="18" fillId="0" borderId="1" xfId="69" applyFont="1" applyBorder="1" applyAlignment="1">
      <alignment vertical="top" wrapText="1"/>
    </xf>
    <xf numFmtId="0" fontId="18" fillId="0" borderId="1" xfId="69" applyFont="1" applyBorder="1" applyAlignment="1"/>
    <xf numFmtId="168" fontId="18" fillId="0" borderId="1" xfId="71" applyNumberFormat="1" applyFont="1" applyFill="1" applyBorder="1" applyAlignment="1">
      <alignment horizontal="center" vertical="center" wrapText="1"/>
    </xf>
    <xf numFmtId="0" fontId="18" fillId="0" borderId="1" xfId="69" applyFont="1" applyBorder="1" applyAlignment="1">
      <alignment horizontal="center" vertical="center" wrapText="1"/>
    </xf>
    <xf numFmtId="2" fontId="29" fillId="2" borderId="1" xfId="7" applyNumberFormat="1" applyFont="1" applyFill="1" applyBorder="1" applyAlignment="1">
      <alignment horizontal="center" vertical="center" wrapText="1"/>
    </xf>
    <xf numFmtId="2" fontId="29" fillId="2" borderId="1" xfId="7" applyNumberFormat="1" applyFont="1" applyFill="1" applyBorder="1" applyAlignment="1">
      <alignment horizontal="center" vertical="center"/>
    </xf>
    <xf numFmtId="0" fontId="18" fillId="2" borderId="0" xfId="70" applyFont="1" applyFill="1" applyAlignment="1">
      <alignment horizontal="center" vertical="center"/>
    </xf>
    <xf numFmtId="0" fontId="18" fillId="2" borderId="0" xfId="70" applyFont="1" applyFill="1" applyAlignment="1"/>
    <xf numFmtId="0" fontId="18" fillId="2" borderId="0" xfId="70" applyFont="1" applyFill="1" applyAlignment="1">
      <alignment horizontal="center"/>
    </xf>
    <xf numFmtId="0" fontId="18" fillId="0" borderId="0" xfId="70" applyFont="1" applyAlignment="1">
      <alignment horizontal="center"/>
    </xf>
    <xf numFmtId="0" fontId="18" fillId="0" borderId="0" xfId="70" applyFont="1" applyAlignment="1"/>
    <xf numFmtId="2" fontId="29" fillId="0" borderId="1" xfId="69" applyNumberFormat="1" applyFont="1" applyBorder="1" applyAlignment="1">
      <alignment horizontal="center" vertical="center" wrapText="1"/>
    </xf>
    <xf numFmtId="0" fontId="18" fillId="2" borderId="1" xfId="69" applyFont="1" applyFill="1" applyBorder="1" applyAlignment="1">
      <alignment vertical="top" wrapText="1"/>
    </xf>
    <xf numFmtId="0" fontId="18" fillId="2" borderId="1" xfId="69" applyFont="1" applyFill="1" applyBorder="1" applyAlignment="1">
      <alignment horizontal="center" vertical="center" wrapText="1"/>
    </xf>
    <xf numFmtId="2" fontId="29" fillId="2" borderId="1" xfId="71" applyNumberFormat="1" applyFont="1" applyFill="1" applyBorder="1" applyAlignment="1">
      <alignment horizontal="center" vertical="center" wrapText="1"/>
    </xf>
    <xf numFmtId="1" fontId="9" fillId="28" borderId="4" xfId="0" applyNumberFormat="1" applyFont="1" applyFill="1" applyBorder="1" applyAlignment="1">
      <alignment horizontal="center" vertical="center" wrapText="1"/>
    </xf>
    <xf numFmtId="1" fontId="9" fillId="28" borderId="1" xfId="0" applyNumberFormat="1" applyFont="1" applyFill="1" applyBorder="1" applyAlignment="1">
      <alignment horizontal="center" vertical="center" wrapText="1"/>
    </xf>
    <xf numFmtId="0" fontId="41" fillId="28" borderId="1" xfId="0" applyFont="1" applyFill="1" applyBorder="1" applyAlignment="1">
      <alignment horizontal="center" vertical="center"/>
    </xf>
    <xf numFmtId="0" fontId="73" fillId="2" borderId="0" xfId="0" applyFont="1" applyFill="1" applyAlignment="1"/>
    <xf numFmtId="0" fontId="74" fillId="2" borderId="0" xfId="0" applyFont="1" applyFill="1" applyAlignment="1"/>
    <xf numFmtId="0" fontId="69" fillId="2" borderId="0" xfId="0" applyFont="1" applyFill="1" applyAlignment="1"/>
    <xf numFmtId="0" fontId="26" fillId="2" borderId="48" xfId="0" applyFont="1" applyFill="1" applyBorder="1" applyAlignment="1">
      <alignment horizontal="center" vertical="center" wrapText="1"/>
    </xf>
    <xf numFmtId="0" fontId="26" fillId="2" borderId="48" xfId="0" applyFont="1" applyFill="1" applyBorder="1" applyAlignment="1">
      <alignment vertical="center" wrapText="1"/>
    </xf>
    <xf numFmtId="1" fontId="26" fillId="2" borderId="48" xfId="0" applyNumberFormat="1" applyFont="1" applyFill="1" applyBorder="1" applyAlignment="1">
      <alignment horizontal="left" vertical="center" wrapText="1"/>
    </xf>
    <xf numFmtId="0" fontId="26" fillId="2" borderId="48" xfId="0" applyFont="1" applyFill="1" applyBorder="1">
      <alignment vertical="center"/>
    </xf>
    <xf numFmtId="0" fontId="9" fillId="29" borderId="1" xfId="0" applyFont="1" applyFill="1" applyBorder="1" applyAlignment="1">
      <alignment horizontal="center" vertical="center" wrapText="1"/>
    </xf>
    <xf numFmtId="165" fontId="9" fillId="29" borderId="1" xfId="0" applyNumberFormat="1" applyFont="1" applyFill="1" applyBorder="1" applyAlignment="1">
      <alignment horizontal="center" vertical="center" wrapText="1"/>
    </xf>
    <xf numFmtId="2" fontId="9" fillId="29" borderId="1" xfId="0" applyNumberFormat="1" applyFont="1" applyFill="1" applyBorder="1" applyAlignment="1">
      <alignment horizontal="center" vertical="center" wrapText="1"/>
    </xf>
    <xf numFmtId="165" fontId="76" fillId="0" borderId="1" xfId="0" applyNumberFormat="1" applyFont="1" applyBorder="1" applyAlignment="1">
      <alignment horizontal="center" vertical="center" wrapText="1"/>
    </xf>
    <xf numFmtId="0" fontId="77" fillId="0" borderId="1" xfId="0" applyFont="1" applyBorder="1" applyAlignment="1">
      <alignment horizontal="center" vertical="center" wrapText="1"/>
    </xf>
    <xf numFmtId="0" fontId="76" fillId="29" borderId="1" xfId="0" applyFont="1" applyFill="1" applyBorder="1" applyAlignment="1">
      <alignment horizontal="center" vertical="center" wrapText="1"/>
    </xf>
    <xf numFmtId="165" fontId="76" fillId="29" borderId="1" xfId="0" applyNumberFormat="1" applyFont="1" applyFill="1" applyBorder="1" applyAlignment="1">
      <alignment horizontal="center" vertical="center" wrapText="1"/>
    </xf>
    <xf numFmtId="165" fontId="77" fillId="2" borderId="1" xfId="7" applyNumberFormat="1" applyFont="1" applyFill="1" applyBorder="1" applyAlignment="1">
      <alignment horizontal="center" vertical="center" wrapText="1"/>
    </xf>
    <xf numFmtId="0" fontId="78" fillId="0" borderId="1" xfId="0" applyFont="1" applyBorder="1" applyAlignment="1">
      <alignment vertical="top" wrapText="1"/>
    </xf>
    <xf numFmtId="0" fontId="76" fillId="0" borderId="1" xfId="0" applyFont="1" applyBorder="1" applyAlignment="1">
      <alignment horizontal="center" vertical="center" wrapText="1"/>
    </xf>
    <xf numFmtId="165" fontId="9" fillId="29" borderId="1" xfId="0" applyNumberFormat="1" applyFont="1" applyFill="1" applyBorder="1" applyAlignment="1">
      <alignment horizontal="center" vertical="center"/>
    </xf>
    <xf numFmtId="2" fontId="26" fillId="29" borderId="2" xfId="0" applyNumberFormat="1" applyFont="1" applyFill="1" applyBorder="1" applyAlignment="1">
      <alignment horizontal="center" vertical="center" wrapText="1"/>
    </xf>
    <xf numFmtId="166" fontId="26" fillId="29" borderId="2" xfId="0" applyNumberFormat="1" applyFont="1" applyFill="1" applyBorder="1" applyAlignment="1">
      <alignment horizontal="center" vertical="center" wrapText="1"/>
    </xf>
    <xf numFmtId="164" fontId="8" fillId="0" borderId="1" xfId="7" applyFont="1" applyFill="1" applyBorder="1" applyAlignment="1">
      <alignment horizontal="center" vertical="center" wrapText="1"/>
    </xf>
    <xf numFmtId="175" fontId="9" fillId="2" borderId="1" xfId="0" applyNumberFormat="1" applyFont="1" applyFill="1" applyBorder="1" applyAlignment="1">
      <alignment horizontal="center" vertical="center" wrapText="1"/>
    </xf>
    <xf numFmtId="0" fontId="42" fillId="0" borderId="2" xfId="0" applyFont="1" applyBorder="1" applyAlignment="1">
      <alignment horizontal="center" vertical="center" wrapText="1"/>
    </xf>
    <xf numFmtId="2" fontId="18" fillId="29" borderId="1" xfId="7" applyNumberFormat="1" applyFont="1" applyFill="1" applyBorder="1" applyAlignment="1">
      <alignment horizontal="center" vertical="center"/>
    </xf>
    <xf numFmtId="10" fontId="18" fillId="0" borderId="1" xfId="70" applyNumberFormat="1" applyFont="1" applyBorder="1" applyAlignment="1"/>
    <xf numFmtId="1" fontId="9" fillId="29" borderId="1" xfId="0" applyNumberFormat="1" applyFont="1" applyFill="1" applyBorder="1" applyAlignment="1">
      <alignment horizontal="center" vertical="center" wrapText="1"/>
    </xf>
    <xf numFmtId="173" fontId="39" fillId="29" borderId="1" xfId="0" applyNumberFormat="1" applyFont="1" applyFill="1" applyBorder="1" applyAlignment="1">
      <alignment horizontal="center" vertical="center"/>
    </xf>
    <xf numFmtId="164" fontId="31" fillId="29" borderId="1" xfId="7" applyFont="1" applyFill="1" applyBorder="1" applyAlignment="1">
      <alignment horizontal="center" vertical="center" wrapText="1"/>
    </xf>
    <xf numFmtId="0" fontId="26" fillId="2" borderId="0" xfId="0" applyFont="1" applyFill="1" applyAlignment="1">
      <alignment horizontal="center" vertical="center" wrapText="1"/>
    </xf>
    <xf numFmtId="0" fontId="26" fillId="2" borderId="0" xfId="0" applyFont="1" applyFill="1" applyAlignment="1">
      <alignment vertical="center" wrapText="1"/>
    </xf>
    <xf numFmtId="172" fontId="0" fillId="0" borderId="0" xfId="0" applyNumberFormat="1" applyAlignment="1"/>
    <xf numFmtId="164" fontId="84" fillId="0" borderId="1" xfId="7" applyFont="1" applyFill="1" applyBorder="1" applyAlignment="1">
      <alignment horizontal="center" vertical="center" wrapText="1"/>
    </xf>
    <xf numFmtId="0" fontId="91" fillId="4" borderId="17" xfId="0" applyFont="1" applyFill="1" applyBorder="1">
      <alignment vertical="center"/>
    </xf>
    <xf numFmtId="0" fontId="92" fillId="0" borderId="0" xfId="0" applyFont="1" applyAlignment="1"/>
    <xf numFmtId="0" fontId="93" fillId="4" borderId="69" xfId="0" applyFont="1" applyFill="1" applyBorder="1">
      <alignment vertical="center"/>
    </xf>
    <xf numFmtId="0" fontId="93" fillId="4" borderId="70" xfId="0" applyFont="1" applyFill="1" applyBorder="1">
      <alignment vertical="center"/>
    </xf>
    <xf numFmtId="0" fontId="93" fillId="4" borderId="72" xfId="0" applyFont="1" applyFill="1" applyBorder="1">
      <alignment vertical="center"/>
    </xf>
    <xf numFmtId="170" fontId="93" fillId="4" borderId="69" xfId="0" applyNumberFormat="1" applyFont="1" applyFill="1" applyBorder="1">
      <alignment vertical="center"/>
    </xf>
    <xf numFmtId="170" fontId="93" fillId="4" borderId="70" xfId="0" applyNumberFormat="1" applyFont="1" applyFill="1" applyBorder="1">
      <alignment vertical="center"/>
    </xf>
    <xf numFmtId="170" fontId="93" fillId="4" borderId="71" xfId="0" applyNumberFormat="1" applyFont="1" applyFill="1" applyBorder="1">
      <alignment vertical="center"/>
    </xf>
    <xf numFmtId="0" fontId="92" fillId="0" borderId="8" xfId="0" applyFont="1" applyBorder="1" applyAlignment="1">
      <alignment horizontal="center" vertical="center"/>
    </xf>
    <xf numFmtId="165" fontId="0" fillId="0" borderId="0" xfId="0" applyNumberFormat="1" applyAlignment="1"/>
    <xf numFmtId="0" fontId="82" fillId="0" borderId="65" xfId="0" applyFont="1" applyFill="1" applyBorder="1" applyAlignment="1">
      <alignment horizontal="center" vertical="center" wrapText="1"/>
    </xf>
    <xf numFmtId="0" fontId="84" fillId="0" borderId="1" xfId="0" applyFont="1" applyFill="1" applyBorder="1" applyAlignment="1">
      <alignment vertical="top" wrapText="1"/>
    </xf>
    <xf numFmtId="2" fontId="82" fillId="0" borderId="48" xfId="0" applyNumberFormat="1" applyFont="1" applyFill="1" applyBorder="1" applyAlignment="1">
      <alignment horizontal="center" vertical="center" wrapText="1"/>
    </xf>
    <xf numFmtId="164" fontId="82" fillId="0" borderId="48" xfId="5" applyFont="1" applyFill="1" applyBorder="1" applyAlignment="1">
      <alignment horizontal="center" vertical="center" wrapText="1"/>
    </xf>
    <xf numFmtId="0" fontId="82" fillId="0" borderId="48" xfId="0" applyFont="1" applyFill="1" applyBorder="1" applyAlignment="1">
      <alignment horizontal="center" vertical="center" wrapText="1"/>
    </xf>
    <xf numFmtId="0" fontId="82" fillId="0" borderId="63" xfId="0" applyFont="1" applyFill="1" applyBorder="1" applyAlignment="1">
      <alignment horizontal="center" vertical="center" wrapText="1"/>
    </xf>
    <xf numFmtId="0" fontId="79" fillId="0" borderId="0" xfId="0" applyFont="1" applyFill="1" applyAlignment="1"/>
    <xf numFmtId="0" fontId="80" fillId="0" borderId="49" xfId="0" applyFont="1" applyFill="1" applyBorder="1" applyAlignment="1">
      <alignment horizontal="center" vertical="center" wrapText="1"/>
    </xf>
    <xf numFmtId="164" fontId="80" fillId="0" borderId="26" xfId="7" applyFont="1" applyFill="1" applyBorder="1" applyAlignment="1">
      <alignment horizontal="center" vertical="center" wrapText="1"/>
    </xf>
    <xf numFmtId="0" fontId="80" fillId="0" borderId="26" xfId="0" applyFont="1" applyFill="1" applyBorder="1" applyAlignment="1">
      <alignment horizontal="center" vertical="center" wrapText="1"/>
    </xf>
    <xf numFmtId="49" fontId="80" fillId="0" borderId="26" xfId="0" applyNumberFormat="1" applyFont="1" applyFill="1" applyBorder="1" applyAlignment="1">
      <alignment horizontal="center" vertical="center" wrapText="1"/>
    </xf>
    <xf numFmtId="1" fontId="80" fillId="0" borderId="26" xfId="0" applyNumberFormat="1" applyFont="1" applyFill="1" applyBorder="1" applyAlignment="1">
      <alignment horizontal="center" vertical="center" wrapText="1"/>
    </xf>
    <xf numFmtId="164" fontId="80" fillId="0" borderId="26" xfId="5" applyFont="1" applyFill="1" applyBorder="1" applyAlignment="1">
      <alignment horizontal="center" vertical="center" wrapText="1"/>
    </xf>
    <xf numFmtId="1" fontId="80" fillId="0" borderId="50" xfId="0" applyNumberFormat="1" applyFont="1" applyFill="1" applyBorder="1" applyAlignment="1">
      <alignment horizontal="center" vertical="center" wrapText="1"/>
    </xf>
    <xf numFmtId="1" fontId="29" fillId="0" borderId="56" xfId="0" applyNumberFormat="1" applyFont="1" applyFill="1" applyBorder="1" applyAlignment="1">
      <alignment horizontal="center" vertical="center" wrapText="1"/>
    </xf>
    <xf numFmtId="1" fontId="29" fillId="0" borderId="26" xfId="0" applyNumberFormat="1" applyFont="1" applyFill="1" applyBorder="1" applyAlignment="1">
      <alignment horizontal="center" vertical="center" wrapText="1"/>
    </xf>
    <xf numFmtId="1" fontId="29" fillId="0" borderId="27" xfId="0" applyNumberFormat="1" applyFont="1" applyFill="1" applyBorder="1" applyAlignment="1">
      <alignment horizontal="center" vertical="center" wrapText="1"/>
    </xf>
    <xf numFmtId="0" fontId="81" fillId="0" borderId="61" xfId="0" applyFont="1" applyFill="1" applyBorder="1" applyAlignment="1">
      <alignment wrapText="1"/>
    </xf>
    <xf numFmtId="0" fontId="81" fillId="0" borderId="51" xfId="0" applyFont="1" applyFill="1" applyBorder="1" applyAlignment="1">
      <alignment horizontal="center" wrapText="1"/>
    </xf>
    <xf numFmtId="0" fontId="81" fillId="0" borderId="51" xfId="0" applyFont="1" applyFill="1" applyBorder="1" applyAlignment="1">
      <alignment wrapText="1"/>
    </xf>
    <xf numFmtId="164" fontId="81" fillId="0" borderId="51" xfId="5" applyFont="1" applyFill="1" applyBorder="1" applyAlignment="1">
      <alignment wrapText="1"/>
    </xf>
    <xf numFmtId="0" fontId="81" fillId="0" borderId="62" xfId="0" applyFont="1" applyFill="1" applyBorder="1" applyAlignment="1">
      <alignment wrapText="1"/>
    </xf>
    <xf numFmtId="0" fontId="0" fillId="0" borderId="0" xfId="0" applyFill="1" applyAlignment="1"/>
    <xf numFmtId="0" fontId="81" fillId="0" borderId="52" xfId="0" applyFont="1" applyFill="1" applyBorder="1" applyAlignment="1">
      <alignment horizontal="center" wrapText="1"/>
    </xf>
    <xf numFmtId="1" fontId="84" fillId="0" borderId="1" xfId="70" applyNumberFormat="1" applyFont="1" applyFill="1" applyBorder="1" applyAlignment="1">
      <alignment horizontal="left" vertical="top" wrapText="1"/>
    </xf>
    <xf numFmtId="0" fontId="81" fillId="0" borderId="52" xfId="0" applyFont="1" applyFill="1" applyBorder="1" applyAlignment="1">
      <alignment wrapText="1"/>
    </xf>
    <xf numFmtId="164" fontId="81" fillId="0" borderId="52" xfId="5" applyFont="1" applyFill="1" applyBorder="1" applyAlignment="1">
      <alignment wrapText="1"/>
    </xf>
    <xf numFmtId="1" fontId="84" fillId="0" borderId="1" xfId="70" applyNumberFormat="1" applyFont="1" applyFill="1" applyBorder="1" applyAlignment="1">
      <alignment horizontal="center" vertical="center" wrapText="1"/>
    </xf>
    <xf numFmtId="0" fontId="82" fillId="0" borderId="52" xfId="0" applyFont="1" applyFill="1" applyBorder="1" applyAlignment="1">
      <alignment horizontal="center" vertical="center" wrapText="1"/>
    </xf>
    <xf numFmtId="164" fontId="81" fillId="0" borderId="52" xfId="5" applyFont="1" applyFill="1" applyBorder="1" applyAlignment="1">
      <alignment horizontal="center" vertical="center" wrapText="1"/>
    </xf>
    <xf numFmtId="1" fontId="84" fillId="0" borderId="52" xfId="70" applyNumberFormat="1" applyFont="1" applyFill="1" applyBorder="1" applyAlignment="1">
      <alignment horizontal="center" vertical="center" wrapText="1"/>
    </xf>
    <xf numFmtId="1" fontId="84" fillId="0" borderId="52" xfId="70" applyNumberFormat="1" applyFont="1" applyFill="1" applyBorder="1" applyAlignment="1">
      <alignment horizontal="left" vertical="top" wrapText="1"/>
    </xf>
    <xf numFmtId="0" fontId="82" fillId="0" borderId="61" xfId="0" applyFont="1" applyFill="1" applyBorder="1" applyAlignment="1">
      <alignment horizontal="center" vertical="center" wrapText="1"/>
    </xf>
    <xf numFmtId="165" fontId="84" fillId="0" borderId="1" xfId="70" applyNumberFormat="1" applyFont="1" applyFill="1" applyBorder="1" applyAlignment="1">
      <alignment horizontal="center" vertical="center" wrapText="1"/>
    </xf>
    <xf numFmtId="0" fontId="84" fillId="0" borderId="51" xfId="0" applyFont="1" applyFill="1" applyBorder="1" applyAlignment="1"/>
    <xf numFmtId="164" fontId="84" fillId="0" borderId="51" xfId="5" applyFont="1" applyFill="1" applyBorder="1" applyAlignment="1"/>
    <xf numFmtId="0" fontId="84" fillId="0" borderId="62" xfId="0" applyFont="1" applyFill="1" applyBorder="1" applyAlignment="1"/>
    <xf numFmtId="0" fontId="34" fillId="0" borderId="0" xfId="0" applyFont="1" applyFill="1" applyAlignment="1"/>
    <xf numFmtId="0" fontId="84" fillId="0" borderId="8" xfId="0" applyFont="1" applyFill="1" applyBorder="1" applyAlignment="1"/>
    <xf numFmtId="1" fontId="84" fillId="0" borderId="4" xfId="70" applyNumberFormat="1" applyFont="1" applyFill="1" applyBorder="1" applyAlignment="1">
      <alignment horizontal="center" vertical="center" wrapText="1"/>
    </xf>
    <xf numFmtId="0" fontId="84" fillId="0" borderId="8" xfId="0" applyFont="1" applyFill="1" applyBorder="1" applyAlignment="1">
      <alignment horizontal="center" vertical="center"/>
    </xf>
    <xf numFmtId="0" fontId="82" fillId="0" borderId="55" xfId="0" applyFont="1" applyFill="1" applyBorder="1" applyAlignment="1">
      <alignment horizontal="center" vertical="center" wrapText="1"/>
    </xf>
    <xf numFmtId="0" fontId="82" fillId="0" borderId="48" xfId="0" applyFont="1" applyFill="1" applyBorder="1" applyAlignment="1">
      <alignment vertical="center" wrapText="1"/>
    </xf>
    <xf numFmtId="0" fontId="82" fillId="0" borderId="64" xfId="0" applyFont="1" applyFill="1" applyBorder="1" applyAlignment="1">
      <alignment horizontal="center" vertical="center" wrapText="1"/>
    </xf>
    <xf numFmtId="0" fontId="82" fillId="0" borderId="48" xfId="0" applyFont="1" applyFill="1" applyBorder="1">
      <alignment vertical="center"/>
    </xf>
    <xf numFmtId="1" fontId="82" fillId="0" borderId="48" xfId="0" applyNumberFormat="1" applyFont="1" applyFill="1" applyBorder="1" applyAlignment="1">
      <alignment horizontal="center" vertical="center" wrapText="1"/>
    </xf>
    <xf numFmtId="1" fontId="82" fillId="0" borderId="48" xfId="0" applyNumberFormat="1" applyFont="1" applyFill="1" applyBorder="1" applyAlignment="1">
      <alignment horizontal="left" vertical="center" wrapText="1"/>
    </xf>
    <xf numFmtId="165" fontId="82" fillId="0" borderId="48" xfId="0" applyNumberFormat="1" applyFont="1" applyFill="1" applyBorder="1" applyAlignment="1">
      <alignment horizontal="center" vertical="center" wrapText="1"/>
    </xf>
    <xf numFmtId="2" fontId="83" fillId="0" borderId="1" xfId="70" applyNumberFormat="1" applyFont="1" applyFill="1" applyBorder="1" applyAlignment="1">
      <alignment horizontal="center" vertical="center"/>
    </xf>
    <xf numFmtId="2" fontId="84" fillId="0" borderId="1" xfId="7" applyNumberFormat="1" applyFont="1" applyFill="1" applyBorder="1" applyAlignment="1">
      <alignment horizontal="center" vertical="center"/>
    </xf>
    <xf numFmtId="1" fontId="83" fillId="0" borderId="1" xfId="70" applyNumberFormat="1" applyFont="1" applyFill="1" applyBorder="1" applyAlignment="1">
      <alignment horizontal="center" vertical="center"/>
    </xf>
    <xf numFmtId="1" fontId="83" fillId="0" borderId="0" xfId="70" applyNumberFormat="1" applyFont="1" applyFill="1" applyAlignment="1">
      <alignment horizontal="center" vertical="center"/>
    </xf>
    <xf numFmtId="1" fontId="84" fillId="0" borderId="0" xfId="70" applyNumberFormat="1" applyFont="1" applyFill="1" applyAlignment="1">
      <alignment horizontal="left" vertical="top" wrapText="1"/>
    </xf>
    <xf numFmtId="2" fontId="84" fillId="0" borderId="0" xfId="7" applyNumberFormat="1" applyFont="1" applyFill="1" applyBorder="1" applyAlignment="1">
      <alignment horizontal="center" vertical="center"/>
    </xf>
    <xf numFmtId="0" fontId="82" fillId="0" borderId="48" xfId="0" applyFont="1" applyFill="1" applyBorder="1" applyAlignment="1">
      <alignment horizontal="center" vertical="center"/>
    </xf>
    <xf numFmtId="164" fontId="84" fillId="0" borderId="0" xfId="5" applyFont="1" applyFill="1" applyBorder="1" applyAlignment="1"/>
    <xf numFmtId="0" fontId="84" fillId="0" borderId="1" xfId="0" applyFont="1" applyFill="1" applyBorder="1" applyAlignment="1">
      <alignment horizontal="center" vertical="center" wrapText="1"/>
    </xf>
    <xf numFmtId="0" fontId="84" fillId="0" borderId="0" xfId="0" applyFont="1" applyFill="1" applyAlignment="1"/>
    <xf numFmtId="2" fontId="82" fillId="0" borderId="48" xfId="71" applyNumberFormat="1" applyFont="1" applyFill="1" applyBorder="1" applyAlignment="1">
      <alignment horizontal="center" vertical="center" wrapText="1"/>
    </xf>
    <xf numFmtId="165" fontId="82" fillId="0" borderId="48" xfId="71" applyNumberFormat="1" applyFont="1" applyFill="1" applyBorder="1" applyAlignment="1">
      <alignment horizontal="center" vertical="center" wrapText="1"/>
    </xf>
    <xf numFmtId="43" fontId="84" fillId="0" borderId="1" xfId="7" applyNumberFormat="1" applyFont="1" applyFill="1" applyBorder="1" applyAlignment="1">
      <alignment horizontal="center" vertical="center" wrapText="1"/>
    </xf>
    <xf numFmtId="2" fontId="84" fillId="0" borderId="1" xfId="1" applyNumberFormat="1" applyFont="1" applyFill="1" applyBorder="1" applyAlignment="1">
      <alignment horizontal="center" vertical="center" wrapText="1"/>
    </xf>
    <xf numFmtId="1" fontId="84" fillId="0" borderId="1" xfId="1" applyNumberFormat="1" applyFont="1" applyFill="1" applyBorder="1" applyAlignment="1">
      <alignment horizontal="left" vertical="center" wrapText="1"/>
    </xf>
    <xf numFmtId="0" fontId="84" fillId="0" borderId="1" xfId="1" applyFont="1" applyFill="1" applyBorder="1" applyAlignment="1">
      <alignment horizontal="center" vertical="center" wrapText="1"/>
    </xf>
    <xf numFmtId="167" fontId="82" fillId="0" borderId="48" xfId="71" applyNumberFormat="1" applyFont="1" applyFill="1" applyBorder="1" applyAlignment="1">
      <alignment horizontal="center" vertical="center" wrapText="1"/>
    </xf>
    <xf numFmtId="2" fontId="82" fillId="0" borderId="1" xfId="71" applyNumberFormat="1" applyFont="1" applyFill="1" applyBorder="1" applyAlignment="1">
      <alignment horizontal="center" vertical="center" wrapText="1"/>
    </xf>
    <xf numFmtId="0" fontId="82" fillId="0" borderId="1" xfId="0" applyFont="1" applyFill="1" applyBorder="1" applyAlignment="1">
      <alignment vertical="center" wrapText="1"/>
    </xf>
    <xf numFmtId="0" fontId="82" fillId="0" borderId="1" xfId="0" applyFont="1" applyFill="1" applyBorder="1" applyAlignment="1">
      <alignment horizontal="center" vertical="center" wrapText="1"/>
    </xf>
    <xf numFmtId="43" fontId="82" fillId="0" borderId="1" xfId="71" applyFont="1" applyFill="1" applyBorder="1" applyAlignment="1">
      <alignment horizontal="center" vertical="center" wrapText="1"/>
    </xf>
    <xf numFmtId="165" fontId="82" fillId="0" borderId="1" xfId="71" applyNumberFormat="1" applyFont="1" applyFill="1" applyBorder="1" applyAlignment="1">
      <alignment horizontal="center" vertical="center" wrapText="1"/>
    </xf>
    <xf numFmtId="1" fontId="82" fillId="0" borderId="1" xfId="0" applyNumberFormat="1" applyFont="1" applyFill="1" applyBorder="1" applyAlignment="1">
      <alignment vertical="center" wrapText="1"/>
    </xf>
    <xf numFmtId="1" fontId="82" fillId="0" borderId="1" xfId="0" applyNumberFormat="1" applyFont="1" applyFill="1" applyBorder="1" applyAlignment="1">
      <alignment horizontal="center" vertical="center" wrapText="1"/>
    </xf>
    <xf numFmtId="43" fontId="82" fillId="0" borderId="52" xfId="71" applyFont="1" applyFill="1" applyBorder="1" applyAlignment="1">
      <alignment horizontal="center" vertical="center" wrapText="1"/>
    </xf>
    <xf numFmtId="1" fontId="82" fillId="0" borderId="52" xfId="0" applyNumberFormat="1" applyFont="1" applyFill="1" applyBorder="1" applyAlignment="1">
      <alignment vertical="center" wrapText="1"/>
    </xf>
    <xf numFmtId="1" fontId="82" fillId="0" borderId="52" xfId="0" applyNumberFormat="1" applyFont="1" applyFill="1" applyBorder="1" applyAlignment="1">
      <alignment horizontal="center" vertical="center" wrapText="1"/>
    </xf>
    <xf numFmtId="1" fontId="85" fillId="0" borderId="48" xfId="0" applyNumberFormat="1" applyFont="1" applyFill="1" applyBorder="1" applyAlignment="1">
      <alignment horizontal="center" vertical="center" wrapText="1"/>
    </xf>
    <xf numFmtId="1" fontId="82" fillId="0" borderId="48" xfId="0" applyNumberFormat="1" applyFont="1" applyFill="1" applyBorder="1" applyAlignment="1">
      <alignment vertical="center" wrapText="1"/>
    </xf>
    <xf numFmtId="43" fontId="82" fillId="0" borderId="48" xfId="71" applyFont="1" applyFill="1" applyBorder="1" applyAlignment="1">
      <alignment horizontal="center" vertical="center" wrapText="1"/>
    </xf>
    <xf numFmtId="1" fontId="84" fillId="0" borderId="1" xfId="0" applyNumberFormat="1" applyFont="1" applyFill="1" applyBorder="1" applyAlignment="1">
      <alignment horizontal="left" vertical="center" wrapText="1"/>
    </xf>
    <xf numFmtId="1" fontId="84" fillId="0" borderId="1" xfId="0" applyNumberFormat="1" applyFont="1" applyFill="1" applyBorder="1" applyAlignment="1">
      <alignment horizontal="center" vertical="center" wrapText="1"/>
    </xf>
    <xf numFmtId="0" fontId="84" fillId="0" borderId="48" xfId="0" applyFont="1" applyFill="1" applyBorder="1" applyAlignment="1">
      <alignment horizontal="center"/>
    </xf>
    <xf numFmtId="0" fontId="84" fillId="0" borderId="48" xfId="0" applyFont="1" applyFill="1" applyBorder="1" applyAlignment="1"/>
    <xf numFmtId="1" fontId="84" fillId="0" borderId="1" xfId="5" applyNumberFormat="1" applyFont="1" applyFill="1" applyBorder="1" applyAlignment="1">
      <alignment horizontal="center" vertical="center" wrapText="1"/>
    </xf>
    <xf numFmtId="164" fontId="84" fillId="0" borderId="1" xfId="5" applyFont="1" applyFill="1" applyBorder="1" applyAlignment="1">
      <alignment horizontal="center" vertical="center" wrapText="1"/>
    </xf>
    <xf numFmtId="1" fontId="85" fillId="0" borderId="1" xfId="0" applyNumberFormat="1" applyFont="1" applyFill="1" applyBorder="1" applyAlignment="1">
      <alignment horizontal="center" vertical="center"/>
    </xf>
    <xf numFmtId="1" fontId="84" fillId="0" borderId="1" xfId="0" applyNumberFormat="1" applyFont="1" applyFill="1" applyBorder="1" applyAlignment="1">
      <alignment horizontal="left" vertical="top" wrapText="1"/>
    </xf>
    <xf numFmtId="166" fontId="84" fillId="0" borderId="1" xfId="7" applyNumberFormat="1" applyFont="1" applyFill="1" applyBorder="1" applyAlignment="1">
      <alignment horizontal="center" vertical="center" wrapText="1"/>
    </xf>
    <xf numFmtId="167" fontId="84" fillId="0" borderId="1" xfId="7" applyNumberFormat="1" applyFont="1" applyFill="1" applyBorder="1" applyAlignment="1">
      <alignment horizontal="center" vertical="center" wrapText="1"/>
    </xf>
    <xf numFmtId="0" fontId="84" fillId="0" borderId="1" xfId="7" applyNumberFormat="1" applyFont="1" applyFill="1" applyBorder="1" applyAlignment="1">
      <alignment horizontal="center" vertical="center" wrapText="1"/>
    </xf>
    <xf numFmtId="2" fontId="83" fillId="0" borderId="1" xfId="0" applyNumberFormat="1" applyFont="1" applyFill="1" applyBorder="1" applyAlignment="1">
      <alignment horizontal="center" vertical="center" wrapText="1"/>
    </xf>
    <xf numFmtId="2" fontId="84" fillId="0" borderId="1" xfId="12" applyNumberFormat="1" applyFont="1" applyFill="1" applyBorder="1" applyAlignment="1">
      <alignment horizontal="center" vertical="center"/>
    </xf>
    <xf numFmtId="2" fontId="84" fillId="0" borderId="1" xfId="7" applyNumberFormat="1" applyFont="1" applyFill="1" applyBorder="1" applyAlignment="1">
      <alignment horizontal="center" vertical="center" wrapText="1"/>
    </xf>
    <xf numFmtId="1" fontId="84" fillId="0" borderId="1" xfId="0" applyNumberFormat="1" applyFont="1" applyFill="1" applyBorder="1" applyAlignment="1">
      <alignment horizontal="center" vertical="top" wrapText="1"/>
    </xf>
    <xf numFmtId="2" fontId="84" fillId="0" borderId="1" xfId="5" applyNumberFormat="1" applyFont="1" applyFill="1" applyBorder="1" applyAlignment="1">
      <alignment horizontal="center" vertical="center" wrapText="1"/>
    </xf>
    <xf numFmtId="0" fontId="84" fillId="0" borderId="1" xfId="5" applyNumberFormat="1" applyFont="1" applyFill="1" applyBorder="1" applyAlignment="1">
      <alignment horizontal="center" vertical="center" wrapText="1"/>
    </xf>
    <xf numFmtId="2" fontId="83" fillId="0" borderId="1" xfId="0" applyNumberFormat="1" applyFont="1" applyFill="1" applyBorder="1" applyAlignment="1">
      <alignment horizontal="center" vertical="center" wrapText="1" readingOrder="2"/>
    </xf>
    <xf numFmtId="0" fontId="84" fillId="0" borderId="1" xfId="69" applyFont="1" applyFill="1" applyBorder="1" applyAlignment="1">
      <alignment horizontal="center" vertical="center" wrapText="1"/>
    </xf>
    <xf numFmtId="2" fontId="83" fillId="0" borderId="1" xfId="71" applyNumberFormat="1" applyFont="1" applyFill="1" applyBorder="1" applyAlignment="1">
      <alignment horizontal="center" vertical="center" wrapText="1"/>
    </xf>
    <xf numFmtId="0" fontId="84" fillId="0" borderId="1" xfId="69" applyFont="1" applyFill="1" applyBorder="1" applyAlignment="1">
      <alignment vertical="top" wrapText="1"/>
    </xf>
    <xf numFmtId="2" fontId="83" fillId="0" borderId="1" xfId="70" applyNumberFormat="1" applyFont="1" applyFill="1" applyBorder="1" applyAlignment="1">
      <alignment horizontal="center" vertical="center" wrapText="1"/>
    </xf>
    <xf numFmtId="1" fontId="83" fillId="0" borderId="1" xfId="70" applyNumberFormat="1" applyFont="1" applyFill="1" applyBorder="1" applyAlignment="1">
      <alignment horizontal="left" vertical="top" wrapText="1"/>
    </xf>
    <xf numFmtId="1" fontId="83" fillId="0" borderId="1" xfId="70" applyNumberFormat="1" applyFont="1" applyFill="1" applyBorder="1" applyAlignment="1">
      <alignment horizontal="center" vertical="center" wrapText="1"/>
    </xf>
    <xf numFmtId="164" fontId="84" fillId="0" borderId="1" xfId="5" applyFont="1" applyFill="1" applyBorder="1" applyAlignment="1">
      <alignment horizontal="center" vertical="center"/>
    </xf>
    <xf numFmtId="1" fontId="83" fillId="0" borderId="1" xfId="0" applyNumberFormat="1" applyFont="1" applyFill="1" applyBorder="1" applyAlignment="1">
      <alignment horizontal="center" vertical="center" wrapText="1"/>
    </xf>
    <xf numFmtId="1" fontId="83" fillId="0" borderId="1" xfId="0" applyNumberFormat="1" applyFont="1" applyFill="1" applyBorder="1" applyAlignment="1">
      <alignment horizontal="center" vertical="top" wrapText="1"/>
    </xf>
    <xf numFmtId="0" fontId="85" fillId="0" borderId="1" xfId="0" applyFont="1" applyFill="1" applyBorder="1" applyAlignment="1">
      <alignment horizontal="center" vertical="center"/>
    </xf>
    <xf numFmtId="0" fontId="83" fillId="0" borderId="1" xfId="0" applyFont="1" applyFill="1" applyBorder="1" applyAlignment="1">
      <alignment horizontal="center" vertical="center" wrapText="1"/>
    </xf>
    <xf numFmtId="2" fontId="87" fillId="0" borderId="1" xfId="0" applyNumberFormat="1" applyFont="1" applyFill="1" applyBorder="1" applyAlignment="1">
      <alignment horizontal="center" vertical="center"/>
    </xf>
    <xf numFmtId="0" fontId="84" fillId="0" borderId="1" xfId="0" applyFont="1" applyFill="1" applyBorder="1" applyAlignment="1"/>
    <xf numFmtId="0" fontId="87" fillId="0" borderId="1" xfId="0" applyFont="1" applyFill="1" applyBorder="1" applyAlignment="1">
      <alignment horizontal="center" vertical="center"/>
    </xf>
    <xf numFmtId="2" fontId="85" fillId="0" borderId="1" xfId="0" applyNumberFormat="1" applyFont="1" applyFill="1" applyBorder="1" applyAlignment="1">
      <alignment horizontal="center" vertical="center"/>
    </xf>
    <xf numFmtId="1" fontId="87" fillId="0" borderId="1" xfId="0" applyNumberFormat="1" applyFont="1" applyFill="1" applyBorder="1" applyAlignment="1">
      <alignment horizontal="center" vertical="center" wrapText="1"/>
    </xf>
    <xf numFmtId="165" fontId="85" fillId="0" borderId="1" xfId="0" applyNumberFormat="1" applyFont="1" applyFill="1" applyBorder="1" applyAlignment="1">
      <alignment horizontal="center" vertical="center"/>
    </xf>
    <xf numFmtId="164" fontId="85" fillId="0" borderId="1" xfId="5" applyFont="1" applyFill="1" applyBorder="1" applyAlignment="1">
      <alignment horizontal="center" vertical="center"/>
    </xf>
    <xf numFmtId="1" fontId="88" fillId="0" borderId="2" xfId="0" applyNumberFormat="1" applyFont="1" applyFill="1" applyBorder="1" applyAlignment="1">
      <alignment horizontal="center" vertical="center" wrapText="1"/>
    </xf>
    <xf numFmtId="1" fontId="84" fillId="0" borderId="2" xfId="0" applyNumberFormat="1" applyFont="1" applyFill="1" applyBorder="1" applyAlignment="1">
      <alignment horizontal="center" vertical="center" wrapText="1"/>
    </xf>
    <xf numFmtId="0" fontId="81" fillId="0" borderId="65" xfId="0" applyFont="1" applyFill="1" applyBorder="1" applyAlignment="1"/>
    <xf numFmtId="0" fontId="81" fillId="0" borderId="48" xfId="0" applyFont="1" applyFill="1" applyBorder="1" applyAlignment="1">
      <alignment horizontal="center"/>
    </xf>
    <xf numFmtId="0" fontId="81" fillId="0" borderId="48" xfId="0" applyFont="1" applyFill="1" applyBorder="1" applyAlignment="1"/>
    <xf numFmtId="0" fontId="89" fillId="0" borderId="48" xfId="0" applyFont="1" applyFill="1" applyBorder="1" applyAlignment="1">
      <alignment horizontal="center" vertical="center" wrapText="1"/>
    </xf>
    <xf numFmtId="164" fontId="89" fillId="0" borderId="48" xfId="5" applyFont="1" applyFill="1" applyBorder="1" applyAlignment="1">
      <alignment horizontal="center" vertical="center" wrapText="1"/>
    </xf>
    <xf numFmtId="0" fontId="89" fillId="0" borderId="63" xfId="0" applyFont="1" applyFill="1" applyBorder="1" applyAlignment="1">
      <alignment horizontal="center" vertical="center" wrapText="1"/>
    </xf>
    <xf numFmtId="164" fontId="90" fillId="0" borderId="48" xfId="5" applyFont="1" applyFill="1" applyBorder="1" applyAlignment="1">
      <alignment horizontal="center" vertical="center" wrapText="1"/>
    </xf>
    <xf numFmtId="164" fontId="14" fillId="0" borderId="55" xfId="5" applyFont="1" applyFill="1" applyBorder="1" applyAlignment="1">
      <alignment horizontal="center" vertical="center" wrapText="1"/>
    </xf>
    <xf numFmtId="0" fontId="14" fillId="0" borderId="48" xfId="0" applyFont="1" applyFill="1" applyBorder="1" applyAlignment="1">
      <alignment horizontal="center" vertical="center" wrapText="1"/>
    </xf>
    <xf numFmtId="0" fontId="81" fillId="0" borderId="66" xfId="0" applyFont="1" applyFill="1" applyBorder="1" applyAlignment="1"/>
    <xf numFmtId="0" fontId="81" fillId="0" borderId="67" xfId="0" applyFont="1" applyFill="1" applyBorder="1" applyAlignment="1">
      <alignment horizontal="center"/>
    </xf>
    <xf numFmtId="0" fontId="81" fillId="0" borderId="67" xfId="0" applyFont="1" applyFill="1" applyBorder="1" applyAlignment="1"/>
    <xf numFmtId="0" fontId="89" fillId="0" borderId="67" xfId="0" applyFont="1" applyFill="1" applyBorder="1" applyAlignment="1">
      <alignment horizontal="center" vertical="center" wrapText="1"/>
    </xf>
    <xf numFmtId="164" fontId="89" fillId="0" borderId="67" xfId="5" applyFont="1" applyFill="1" applyBorder="1" applyAlignment="1">
      <alignment horizontal="center" vertical="center" wrapText="1"/>
    </xf>
    <xf numFmtId="0" fontId="89" fillId="0" borderId="68" xfId="0" applyFont="1" applyFill="1" applyBorder="1" applyAlignment="1">
      <alignment horizontal="center" vertical="center" wrapText="1"/>
    </xf>
    <xf numFmtId="0" fontId="81" fillId="0" borderId="0" xfId="0" applyFont="1" applyFill="1" applyAlignment="1"/>
    <xf numFmtId="0" fontId="81" fillId="0" borderId="0" xfId="0" applyFont="1" applyFill="1" applyAlignment="1">
      <alignment horizontal="center"/>
    </xf>
    <xf numFmtId="164" fontId="81" fillId="0" borderId="0" xfId="5" applyFont="1" applyFill="1" applyAlignment="1"/>
    <xf numFmtId="1" fontId="80" fillId="0" borderId="53" xfId="0" applyNumberFormat="1" applyFont="1" applyFill="1" applyBorder="1" applyAlignment="1">
      <alignment horizontal="center" vertical="center" wrapText="1"/>
    </xf>
    <xf numFmtId="1" fontId="80" fillId="0" borderId="54" xfId="0" applyNumberFormat="1" applyFont="1" applyFill="1" applyBorder="1" applyAlignment="1">
      <alignment horizontal="center" vertical="center" wrapText="1"/>
    </xf>
    <xf numFmtId="1" fontId="80" fillId="0" borderId="55" xfId="0" applyNumberFormat="1" applyFont="1" applyFill="1" applyBorder="1" applyAlignment="1">
      <alignment horizontal="center" vertical="center" wrapText="1"/>
    </xf>
    <xf numFmtId="0" fontId="32" fillId="0" borderId="0" xfId="0" applyFont="1" applyFill="1" applyAlignment="1">
      <alignment horizontal="center" vertical="center"/>
    </xf>
    <xf numFmtId="0" fontId="100" fillId="0" borderId="0" xfId="0" applyFont="1" applyFill="1" applyAlignment="1">
      <alignment horizontal="center" vertical="center"/>
    </xf>
    <xf numFmtId="0" fontId="80" fillId="0" borderId="57" xfId="0" applyFont="1" applyFill="1" applyBorder="1" applyAlignment="1">
      <alignment horizontal="center" vertical="center"/>
    </xf>
    <xf numFmtId="0" fontId="80" fillId="0" borderId="58" xfId="0" applyFont="1" applyFill="1" applyBorder="1" applyAlignment="1">
      <alignment horizontal="center" vertical="center"/>
    </xf>
    <xf numFmtId="0" fontId="80" fillId="0" borderId="59" xfId="0" applyFont="1" applyFill="1" applyBorder="1" applyAlignment="1">
      <alignment horizontal="center" vertical="center"/>
    </xf>
    <xf numFmtId="0" fontId="80" fillId="0" borderId="60" xfId="0" applyFont="1" applyFill="1" applyBorder="1" applyAlignment="1">
      <alignment horizontal="center" vertical="center" wrapText="1"/>
    </xf>
    <xf numFmtId="0" fontId="80" fillId="0" borderId="24" xfId="0" applyFont="1" applyFill="1" applyBorder="1" applyAlignment="1">
      <alignment horizontal="center" vertical="center" wrapText="1"/>
    </xf>
    <xf numFmtId="0" fontId="80" fillId="0" borderId="31" xfId="0" applyFont="1" applyFill="1" applyBorder="1" applyAlignment="1">
      <alignment horizontal="center" vertical="center" wrapText="1"/>
    </xf>
    <xf numFmtId="0" fontId="80" fillId="0" borderId="6" xfId="0" applyFont="1" applyFill="1" applyBorder="1" applyAlignment="1">
      <alignment horizontal="center" vertical="center" wrapText="1"/>
    </xf>
    <xf numFmtId="0" fontId="80" fillId="0" borderId="32" xfId="0" applyFont="1" applyFill="1" applyBorder="1" applyAlignment="1">
      <alignment horizontal="center" vertical="center" wrapText="1"/>
    </xf>
    <xf numFmtId="0" fontId="80" fillId="0" borderId="7" xfId="0" applyFont="1" applyFill="1" applyBorder="1" applyAlignment="1">
      <alignment horizontal="center" vertical="center" wrapText="1"/>
    </xf>
    <xf numFmtId="0" fontId="80" fillId="0" borderId="43" xfId="0" applyFont="1" applyFill="1" applyBorder="1" applyAlignment="1">
      <alignment horizontal="center" vertical="center"/>
    </xf>
    <xf numFmtId="0" fontId="80" fillId="0" borderId="3" xfId="0" applyFont="1" applyFill="1" applyBorder="1" applyAlignment="1">
      <alignment horizontal="center" vertical="center"/>
    </xf>
    <xf numFmtId="0" fontId="80" fillId="0" borderId="9" xfId="0" applyFont="1" applyFill="1" applyBorder="1" applyAlignment="1">
      <alignment horizontal="center" vertical="center"/>
    </xf>
    <xf numFmtId="170" fontId="92" fillId="0" borderId="2" xfId="0" applyNumberFormat="1" applyFont="1" applyBorder="1" applyAlignment="1">
      <alignment horizontal="left" vertical="center"/>
    </xf>
    <xf numFmtId="170" fontId="92" fillId="0" borderId="3" xfId="0" applyNumberFormat="1" applyFont="1" applyBorder="1" applyAlignment="1">
      <alignment horizontal="left" vertical="center"/>
    </xf>
    <xf numFmtId="170" fontId="92" fillId="0" borderId="4" xfId="0" applyNumberFormat="1" applyFont="1" applyBorder="1" applyAlignment="1">
      <alignment horizontal="left" vertical="center"/>
    </xf>
    <xf numFmtId="174" fontId="92" fillId="0" borderId="2" xfId="0" applyNumberFormat="1" applyFont="1" applyBorder="1" applyAlignment="1">
      <alignment horizontal="left" vertical="center" wrapText="1"/>
    </xf>
    <xf numFmtId="174" fontId="92" fillId="0" borderId="3" xfId="0" applyNumberFormat="1" applyFont="1" applyBorder="1" applyAlignment="1">
      <alignment horizontal="left" vertical="center" wrapText="1"/>
    </xf>
    <xf numFmtId="174" fontId="92" fillId="0" borderId="9" xfId="0" applyNumberFormat="1" applyFont="1" applyBorder="1" applyAlignment="1">
      <alignment horizontal="left" vertical="center" wrapText="1"/>
    </xf>
    <xf numFmtId="170" fontId="34" fillId="0" borderId="2" xfId="0" applyNumberFormat="1" applyFont="1" applyBorder="1" applyAlignment="1">
      <alignment horizontal="left" vertical="center"/>
    </xf>
    <xf numFmtId="170" fontId="34" fillId="0" borderId="3" xfId="0" applyNumberFormat="1" applyFont="1" applyBorder="1" applyAlignment="1">
      <alignment horizontal="left" vertical="center"/>
    </xf>
    <xf numFmtId="170" fontId="34" fillId="0" borderId="4" xfId="0" applyNumberFormat="1" applyFont="1" applyBorder="1" applyAlignment="1">
      <alignment horizontal="left" vertical="center"/>
    </xf>
    <xf numFmtId="174" fontId="34" fillId="0" borderId="2" xfId="0" applyNumberFormat="1" applyFont="1" applyBorder="1" applyAlignment="1">
      <alignment horizontal="center" vertical="center"/>
    </xf>
    <xf numFmtId="174" fontId="34" fillId="0" borderId="3" xfId="0" applyNumberFormat="1" applyFont="1" applyBorder="1" applyAlignment="1">
      <alignment horizontal="center" vertical="center"/>
    </xf>
    <xf numFmtId="174" fontId="34" fillId="0" borderId="9" xfId="0" applyNumberFormat="1" applyFont="1" applyBorder="1" applyAlignment="1">
      <alignment horizontal="center" vertical="center"/>
    </xf>
    <xf numFmtId="170" fontId="94" fillId="0" borderId="2" xfId="0" applyNumberFormat="1" applyFont="1" applyBorder="1" applyAlignment="1">
      <alignment horizontal="left" vertical="center"/>
    </xf>
    <xf numFmtId="170" fontId="94" fillId="0" borderId="3" xfId="0" applyNumberFormat="1" applyFont="1" applyBorder="1" applyAlignment="1">
      <alignment horizontal="left" vertical="center"/>
    </xf>
    <xf numFmtId="170" fontId="94" fillId="0" borderId="4" xfId="0" applyNumberFormat="1" applyFont="1" applyBorder="1" applyAlignment="1">
      <alignment horizontal="left" vertical="center"/>
    </xf>
    <xf numFmtId="170" fontId="94" fillId="0" borderId="2" xfId="0" applyNumberFormat="1" applyFont="1" applyBorder="1" applyAlignment="1">
      <alignment horizontal="left" vertical="center" wrapText="1"/>
    </xf>
    <xf numFmtId="170" fontId="94" fillId="0" borderId="3" xfId="0" applyNumberFormat="1" applyFont="1" applyBorder="1" applyAlignment="1">
      <alignment horizontal="left" vertical="center" wrapText="1"/>
    </xf>
    <xf numFmtId="170" fontId="94" fillId="0" borderId="4" xfId="0" applyNumberFormat="1" applyFont="1" applyBorder="1" applyAlignment="1">
      <alignment horizontal="left" vertical="center" wrapText="1"/>
    </xf>
    <xf numFmtId="0" fontId="35" fillId="0" borderId="57" xfId="0" applyFont="1" applyBorder="1" applyAlignment="1">
      <alignment horizontal="center" vertical="center" wrapText="1"/>
    </xf>
    <xf numFmtId="0" fontId="35" fillId="0" borderId="58" xfId="0" applyFont="1" applyBorder="1" applyAlignment="1">
      <alignment horizontal="center" vertical="center" wrapText="1"/>
    </xf>
    <xf numFmtId="0" fontId="32" fillId="0" borderId="31" xfId="0" applyFont="1" applyBorder="1" applyAlignment="1">
      <alignment horizontal="center" vertical="center"/>
    </xf>
    <xf numFmtId="0" fontId="32" fillId="0" borderId="6" xfId="0" applyFont="1" applyBorder="1" applyAlignment="1">
      <alignment horizontal="center" vertical="center"/>
    </xf>
    <xf numFmtId="0" fontId="32" fillId="0" borderId="32" xfId="0" applyFont="1" applyBorder="1" applyAlignment="1">
      <alignment horizontal="center" vertical="center"/>
    </xf>
    <xf numFmtId="0" fontId="32" fillId="0" borderId="7" xfId="0" applyFont="1" applyBorder="1" applyAlignment="1">
      <alignment horizontal="center" vertical="center"/>
    </xf>
    <xf numFmtId="0" fontId="0" fillId="0" borderId="1" xfId="0" applyBorder="1" applyAlignment="1">
      <alignment horizontal="center"/>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5" fillId="0" borderId="28" xfId="0" applyFont="1" applyBorder="1" applyAlignment="1">
      <alignment horizontal="center" vertical="center" wrapText="1"/>
    </xf>
    <xf numFmtId="0" fontId="35" fillId="0" borderId="29" xfId="0" applyFont="1" applyBorder="1" applyAlignment="1">
      <alignment horizontal="center" vertical="center" wrapText="1"/>
    </xf>
    <xf numFmtId="0" fontId="35" fillId="0" borderId="30" xfId="0" applyFont="1" applyBorder="1" applyAlignment="1">
      <alignment horizontal="center" vertical="center" wrapText="1"/>
    </xf>
    <xf numFmtId="0" fontId="5" fillId="2" borderId="8" xfId="0" applyFont="1" applyFill="1" applyBorder="1" applyAlignment="1">
      <alignment horizontal="center" vertical="center" wrapText="1"/>
    </xf>
    <xf numFmtId="0" fontId="5" fillId="2" borderId="1" xfId="0" applyFont="1" applyFill="1" applyBorder="1" applyAlignment="1">
      <alignment horizontal="center" vertical="center"/>
    </xf>
    <xf numFmtId="0" fontId="5" fillId="2" borderId="13" xfId="0" applyFont="1" applyFill="1" applyBorder="1" applyAlignment="1">
      <alignment horizontal="center" vertical="center"/>
    </xf>
    <xf numFmtId="2" fontId="5" fillId="2" borderId="8" xfId="0" applyNumberFormat="1" applyFont="1" applyFill="1" applyBorder="1" applyAlignment="1">
      <alignment horizontal="right" shrinkToFit="1"/>
    </xf>
    <xf numFmtId="2" fontId="5" fillId="2" borderId="1" xfId="0" applyNumberFormat="1" applyFont="1" applyFill="1" applyBorder="1" applyAlignment="1">
      <alignment horizontal="right" shrinkToFit="1"/>
    </xf>
    <xf numFmtId="0" fontId="10" fillId="2" borderId="5" xfId="0" applyFont="1" applyFill="1" applyBorder="1" applyAlignment="1">
      <alignment horizontal="center" vertical="center"/>
    </xf>
    <xf numFmtId="0" fontId="10" fillId="2" borderId="6" xfId="0" applyFont="1" applyFill="1" applyBorder="1" applyAlignment="1">
      <alignment horizontal="center" vertical="center"/>
    </xf>
    <xf numFmtId="0" fontId="10" fillId="2" borderId="7" xfId="0" applyFont="1" applyFill="1" applyBorder="1" applyAlignment="1">
      <alignment horizontal="center" vertical="center"/>
    </xf>
    <xf numFmtId="0" fontId="10" fillId="2" borderId="8"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1" fillId="2" borderId="2"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11" fillId="2" borderId="4"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0" fillId="2" borderId="9" xfId="0" applyFont="1" applyFill="1" applyBorder="1" applyAlignment="1">
      <alignment horizontal="center" vertical="center" wrapText="1"/>
    </xf>
    <xf numFmtId="0" fontId="5" fillId="2" borderId="10" xfId="0" applyFont="1" applyFill="1" applyBorder="1" applyAlignment="1">
      <alignment horizontal="center" vertical="center"/>
    </xf>
    <xf numFmtId="0" fontId="5" fillId="2" borderId="11" xfId="0" applyFont="1" applyFill="1" applyBorder="1" applyAlignment="1">
      <alignment horizontal="center" vertical="center"/>
    </xf>
    <xf numFmtId="0" fontId="5" fillId="2" borderId="12" xfId="0" applyFont="1" applyFill="1" applyBorder="1" applyAlignment="1">
      <alignment horizontal="center" vertical="center"/>
    </xf>
    <xf numFmtId="0" fontId="8" fillId="2" borderId="1" xfId="0" applyFont="1" applyFill="1" applyBorder="1" applyAlignment="1">
      <alignment vertical="top" wrapText="1"/>
    </xf>
    <xf numFmtId="0" fontId="8" fillId="0" borderId="1" xfId="0" applyFont="1" applyBorder="1" applyAlignment="1">
      <alignment vertical="top" wrapText="1"/>
    </xf>
    <xf numFmtId="0" fontId="16" fillId="0" borderId="2" xfId="0" applyFont="1" applyBorder="1" applyAlignment="1">
      <alignment horizontal="center" vertical="top" wrapText="1"/>
    </xf>
    <xf numFmtId="0" fontId="16" fillId="0" borderId="3" xfId="0" applyFont="1" applyBorder="1" applyAlignment="1">
      <alignment horizontal="center" vertical="top" wrapText="1"/>
    </xf>
    <xf numFmtId="0" fontId="39" fillId="0" borderId="1" xfId="0" applyFont="1" applyBorder="1" applyAlignment="1">
      <alignment horizontal="center" vertical="center"/>
    </xf>
    <xf numFmtId="0" fontId="41" fillId="0" borderId="24" xfId="0" applyFont="1" applyBorder="1" applyAlignment="1">
      <alignment horizontal="center"/>
    </xf>
    <xf numFmtId="0" fontId="41" fillId="0" borderId="25" xfId="0" applyFont="1" applyBorder="1" applyAlignment="1">
      <alignment horizontal="center"/>
    </xf>
    <xf numFmtId="0" fontId="42" fillId="0" borderId="2" xfId="0" applyFont="1" applyBorder="1" applyAlignment="1">
      <alignment horizontal="center" vertical="center" wrapText="1"/>
    </xf>
    <xf numFmtId="0" fontId="42" fillId="0" borderId="3" xfId="0" applyFont="1" applyBorder="1" applyAlignment="1">
      <alignment horizontal="center" vertical="center"/>
    </xf>
    <xf numFmtId="0" fontId="42" fillId="0" borderId="9" xfId="0" applyFont="1" applyBorder="1" applyAlignment="1">
      <alignment horizontal="center" vertical="center"/>
    </xf>
    <xf numFmtId="0" fontId="10" fillId="2" borderId="43" xfId="0" applyFont="1" applyFill="1" applyBorder="1" applyAlignment="1">
      <alignment horizontal="left" vertical="center" wrapText="1"/>
    </xf>
    <xf numFmtId="0" fontId="10" fillId="2" borderId="9" xfId="0" applyFont="1" applyFill="1" applyBorder="1" applyAlignment="1">
      <alignment horizontal="left" vertical="center" wrapText="1"/>
    </xf>
    <xf numFmtId="0" fontId="42" fillId="0" borderId="1" xfId="0" applyFont="1" applyBorder="1" applyAlignment="1">
      <alignment horizontal="center"/>
    </xf>
    <xf numFmtId="0" fontId="42" fillId="0" borderId="13" xfId="0" applyFont="1" applyBorder="1" applyAlignment="1">
      <alignment horizontal="center"/>
    </xf>
    <xf numFmtId="0" fontId="8" fillId="28" borderId="2" xfId="0" applyFont="1" applyFill="1" applyBorder="1" applyAlignment="1">
      <alignment horizontal="center" vertical="top" wrapText="1"/>
    </xf>
    <xf numFmtId="0" fontId="8" fillId="28" borderId="3" xfId="0" applyFont="1" applyFill="1" applyBorder="1" applyAlignment="1">
      <alignment horizontal="center" vertical="top" wrapText="1"/>
    </xf>
    <xf numFmtId="1" fontId="29" fillId="0" borderId="1" xfId="70" applyNumberFormat="1" applyFont="1" applyBorder="1" applyAlignment="1">
      <alignment horizontal="center" vertical="center" wrapText="1"/>
    </xf>
    <xf numFmtId="0" fontId="29" fillId="0" borderId="1" xfId="70" applyFont="1" applyBorder="1" applyAlignment="1">
      <alignment horizontal="center"/>
    </xf>
    <xf numFmtId="0" fontId="18" fillId="0" borderId="1" xfId="70" applyFont="1" applyBorder="1" applyAlignment="1">
      <alignment horizontal="center"/>
    </xf>
    <xf numFmtId="0" fontId="29" fillId="0" borderId="44" xfId="70" applyFont="1" applyBorder="1" applyAlignment="1">
      <alignment horizontal="center" vertical="center" wrapText="1"/>
    </xf>
    <xf numFmtId="0" fontId="29" fillId="0" borderId="11" xfId="70" applyFont="1" applyBorder="1" applyAlignment="1">
      <alignment horizontal="center" vertical="center" wrapText="1"/>
    </xf>
    <xf numFmtId="0" fontId="29" fillId="0" borderId="45" xfId="70" applyFont="1" applyBorder="1" applyAlignment="1">
      <alignment horizontal="center" vertical="center" wrapText="1"/>
    </xf>
    <xf numFmtId="0" fontId="29" fillId="0" borderId="2" xfId="70" applyFont="1" applyBorder="1" applyAlignment="1">
      <alignment horizontal="center" vertical="center"/>
    </xf>
    <xf numFmtId="0" fontId="29" fillId="0" borderId="3" xfId="70" applyFont="1" applyBorder="1" applyAlignment="1">
      <alignment horizontal="center" vertical="center"/>
    </xf>
    <xf numFmtId="0" fontId="29" fillId="0" borderId="47" xfId="70" applyFont="1" applyBorder="1" applyAlignment="1">
      <alignment horizontal="center" vertical="center" wrapText="1"/>
    </xf>
    <xf numFmtId="0" fontId="29" fillId="0" borderId="46" xfId="70" applyFont="1" applyBorder="1" applyAlignment="1">
      <alignment horizontal="center" vertical="center" wrapText="1"/>
    </xf>
    <xf numFmtId="0" fontId="29" fillId="0" borderId="1" xfId="70" applyFont="1" applyBorder="1" applyAlignment="1">
      <alignment horizontal="center" vertical="center"/>
    </xf>
    <xf numFmtId="0" fontId="10" fillId="2" borderId="24" xfId="0" applyFont="1" applyFill="1" applyBorder="1" applyAlignment="1">
      <alignment horizontal="center" vertical="center"/>
    </xf>
    <xf numFmtId="0" fontId="10" fillId="2" borderId="25" xfId="0" applyFont="1" applyFill="1" applyBorder="1" applyAlignment="1">
      <alignment horizontal="center" vertical="center"/>
    </xf>
    <xf numFmtId="0" fontId="11" fillId="2" borderId="27" xfId="0" applyFont="1" applyFill="1" applyBorder="1" applyAlignment="1">
      <alignment horizontal="center" vertical="center" wrapText="1"/>
    </xf>
    <xf numFmtId="0" fontId="11" fillId="2" borderId="0" xfId="0" applyFont="1" applyFill="1" applyAlignment="1">
      <alignment horizontal="center" vertical="center" wrapText="1"/>
    </xf>
    <xf numFmtId="0" fontId="5" fillId="2" borderId="1" xfId="0" applyFont="1" applyFill="1" applyBorder="1" applyAlignment="1">
      <alignment horizontal="center" vertical="top"/>
    </xf>
    <xf numFmtId="0" fontId="5" fillId="2" borderId="13" xfId="0" applyFont="1" applyFill="1" applyBorder="1" applyAlignment="1">
      <alignment horizontal="center" vertical="top"/>
    </xf>
    <xf numFmtId="0" fontId="5" fillId="2" borderId="3" xfId="0" applyFont="1" applyFill="1" applyBorder="1" applyAlignment="1">
      <alignment horizontal="center" vertical="top"/>
    </xf>
    <xf numFmtId="0" fontId="5" fillId="2" borderId="9" xfId="0" applyFont="1" applyFill="1" applyBorder="1" applyAlignment="1">
      <alignment horizontal="center" vertical="top"/>
    </xf>
    <xf numFmtId="0" fontId="14" fillId="2" borderId="1" xfId="0" applyFont="1" applyFill="1" applyBorder="1" applyAlignment="1">
      <alignment vertical="top" wrapText="1"/>
    </xf>
    <xf numFmtId="2" fontId="38" fillId="2" borderId="1" xfId="0" applyNumberFormat="1" applyFont="1" applyFill="1" applyBorder="1" applyAlignment="1">
      <alignment horizontal="right" shrinkToFit="1"/>
    </xf>
    <xf numFmtId="0" fontId="36" fillId="2" borderId="3" xfId="0" applyFont="1" applyFill="1" applyBorder="1" applyAlignment="1">
      <alignment horizontal="center" vertical="center"/>
    </xf>
    <xf numFmtId="0" fontId="36" fillId="2" borderId="4" xfId="0" applyFont="1" applyFill="1" applyBorder="1" applyAlignment="1">
      <alignment horizontal="center" vertical="center"/>
    </xf>
    <xf numFmtId="0" fontId="37" fillId="2" borderId="2" xfId="0" applyFont="1" applyFill="1" applyBorder="1" applyAlignment="1">
      <alignment horizontal="center" vertical="center" wrapText="1"/>
    </xf>
    <xf numFmtId="0" fontId="37" fillId="2" borderId="3" xfId="0" applyFont="1" applyFill="1" applyBorder="1" applyAlignment="1">
      <alignment horizontal="center" vertical="center" wrapText="1"/>
    </xf>
    <xf numFmtId="0" fontId="38" fillId="2" borderId="3" xfId="0" applyFont="1" applyFill="1" applyBorder="1" applyAlignment="1">
      <alignment horizontal="center" vertical="top"/>
    </xf>
    <xf numFmtId="0" fontId="38" fillId="2" borderId="4" xfId="0" applyFont="1" applyFill="1" applyBorder="1" applyAlignment="1">
      <alignment horizontal="center" vertical="top"/>
    </xf>
  </cellXfs>
  <cellStyles count="74">
    <cellStyle name="20% - Accent1 2" xfId="13"/>
    <cellStyle name="20% - Accent2 2" xfId="14"/>
    <cellStyle name="20% - Accent3 2" xfId="15"/>
    <cellStyle name="20% - Accent4 2" xfId="16"/>
    <cellStyle name="20% - Accent5 2" xfId="17"/>
    <cellStyle name="20% - Accent6 2" xfId="18"/>
    <cellStyle name="40% - Accent1 2" xfId="19"/>
    <cellStyle name="40% - Accent2 2" xfId="20"/>
    <cellStyle name="40% - Accent3 2" xfId="21"/>
    <cellStyle name="40% - Accent4 2" xfId="22"/>
    <cellStyle name="40% - Accent5 2" xfId="23"/>
    <cellStyle name="40% - Accent6 2" xfId="24"/>
    <cellStyle name="60% - Accent1 2" xfId="25"/>
    <cellStyle name="60% - Accent2 2" xfId="26"/>
    <cellStyle name="60% - Accent3 2" xfId="27"/>
    <cellStyle name="60% - Accent4 2" xfId="28"/>
    <cellStyle name="60% - Accent5 2" xfId="29"/>
    <cellStyle name="60% - Accent6 2" xfId="30"/>
    <cellStyle name="Accent1 2" xfId="31"/>
    <cellStyle name="Accent2 2" xfId="32"/>
    <cellStyle name="Accent3 2" xfId="33"/>
    <cellStyle name="Accent4 2" xfId="34"/>
    <cellStyle name="Accent5 2" xfId="35"/>
    <cellStyle name="Accent6 2" xfId="36"/>
    <cellStyle name="Bad 2" xfId="37"/>
    <cellStyle name="Calculation 2" xfId="38"/>
    <cellStyle name="Check Cell 2" xfId="39"/>
    <cellStyle name="Comma" xfId="5" builtinId="3"/>
    <cellStyle name="Comma 11 2" xfId="12"/>
    <cellStyle name="Comma 2" xfId="7"/>
    <cellStyle name="Comma 2 2" xfId="41"/>
    <cellStyle name="Comma 3" xfId="10"/>
    <cellStyle name="Comma 3 2" xfId="42"/>
    <cellStyle name="Comma 4" xfId="43"/>
    <cellStyle name="Comma 5" xfId="11"/>
    <cellStyle name="Comma 6" xfId="44"/>
    <cellStyle name="Comma 7" xfId="40"/>
    <cellStyle name="Comma 8" xfId="71"/>
    <cellStyle name="Explanatory Text 2" xfId="45"/>
    <cellStyle name="Followed Hyperlink" xfId="73" builtinId="9" hidden="1"/>
    <cellStyle name="Good 2" xfId="46"/>
    <cellStyle name="Heading 1 2" xfId="47"/>
    <cellStyle name="Heading 2 2" xfId="48"/>
    <cellStyle name="Heading 3 2" xfId="49"/>
    <cellStyle name="Heading 4 2" xfId="50"/>
    <cellStyle name="Hyperlink" xfId="72" builtinId="8" hidden="1"/>
    <cellStyle name="Hyperlink 2" xfId="51"/>
    <cellStyle name="Input 2" xfId="52"/>
    <cellStyle name="Linked Cell 2" xfId="53"/>
    <cellStyle name="Neutral 2" xfId="54"/>
    <cellStyle name="Normal" xfId="0" builtinId="0"/>
    <cellStyle name="Normal 2" xfId="1"/>
    <cellStyle name="Normal 2 2" xfId="3"/>
    <cellStyle name="Normal 2 2 2" xfId="56"/>
    <cellStyle name="Normal 2 2 3" xfId="66"/>
    <cellStyle name="Normal 2 2 4" xfId="68"/>
    <cellStyle name="Normal 2 3" xfId="4"/>
    <cellStyle name="Normal 2 3 2" xfId="57"/>
    <cellStyle name="Normal 2 3 3" xfId="65"/>
    <cellStyle name="Normal 2 4" xfId="6"/>
    <cellStyle name="Normal 2 5" xfId="55"/>
    <cellStyle name="Normal 2 6" xfId="64"/>
    <cellStyle name="Normal 2 7" xfId="67"/>
    <cellStyle name="Normal 2 8" xfId="70"/>
    <cellStyle name="Normal 3" xfId="2"/>
    <cellStyle name="Normal 4" xfId="9"/>
    <cellStyle name="Normal 5" xfId="69"/>
    <cellStyle name="Note 2" xfId="59"/>
    <cellStyle name="Note 3" xfId="58"/>
    <cellStyle name="Output 2" xfId="60"/>
    <cellStyle name="Percent" xfId="8" builtinId="5"/>
    <cellStyle name="Title 2" xfId="61"/>
    <cellStyle name="Total 2" xfId="62"/>
    <cellStyle name="Warning Text 2" xfId="63"/>
  </cellStyles>
  <dxfs count="93">
    <dxf>
      <font>
        <color rgb="FFFF0000"/>
      </font>
    </dxf>
    <dxf>
      <font>
        <color rgb="FFDD0806"/>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DD0806"/>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DD0806"/>
      </font>
    </dxf>
    <dxf>
      <font>
        <color rgb="FFFF0000"/>
      </font>
    </dxf>
    <dxf>
      <font>
        <color rgb="FFFF0000"/>
      </font>
    </dxf>
    <dxf>
      <font>
        <color rgb="FFFF0000"/>
      </font>
    </dxf>
    <dxf>
      <font>
        <color rgb="FFFF0000"/>
      </font>
    </dxf>
    <dxf>
      <font>
        <color rgb="FFFF0000"/>
      </font>
    </dxf>
    <dxf>
      <font>
        <color rgb="FFFF0000"/>
      </font>
    </dxf>
    <dxf>
      <font>
        <color rgb="FFDD0806"/>
      </font>
    </dxf>
    <dxf>
      <font>
        <color rgb="FFFF0000"/>
      </font>
    </dxf>
    <dxf>
      <font>
        <color rgb="FFDD0806"/>
      </font>
    </dxf>
    <dxf>
      <font>
        <color rgb="FFFF0000"/>
      </font>
    </dxf>
    <dxf>
      <font>
        <color rgb="FFFF0000"/>
      </font>
    </dxf>
    <dxf>
      <font>
        <color rgb="FFFF0000"/>
      </font>
    </dxf>
    <dxf>
      <font>
        <color rgb="FFFF0000"/>
      </font>
    </dxf>
    <dxf>
      <font>
        <color rgb="FFFF0000"/>
      </font>
    </dxf>
    <dxf>
      <font>
        <color rgb="FFDD0806"/>
      </font>
    </dxf>
    <dxf>
      <font>
        <color rgb="FFFF0000"/>
      </font>
    </dxf>
    <dxf>
      <font>
        <color rgb="FFFF0000"/>
      </font>
    </dxf>
    <dxf>
      <font>
        <color rgb="FFFF0000"/>
      </font>
    </dxf>
    <dxf>
      <font>
        <color rgb="FFDD0806"/>
      </font>
    </dxf>
    <dxf>
      <font>
        <color rgb="FFDD0806"/>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DD0806"/>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 Id="rId5" Type="http://schemas.openxmlformats.org/officeDocument/2006/relationships/image" Target="../media/image5.png"/><Relationship Id="rId4" Type="http://schemas.openxmlformats.org/officeDocument/2006/relationships/image" Target="../media/image4.png"/></Relationships>
</file>

<file path=xl/drawings/_rels/drawing10.xml.rels><?xml version="1.0" encoding="UTF-8" standalone="yes"?>
<Relationships xmlns="http://schemas.openxmlformats.org/package/2006/relationships"><Relationship Id="rId2" Type="http://schemas.openxmlformats.org/officeDocument/2006/relationships/image" Target="../media/image9.pn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20.pn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3" Type="http://schemas.openxmlformats.org/officeDocument/2006/relationships/image" Target="../media/image8.PNG"/><Relationship Id="rId2" Type="http://schemas.openxmlformats.org/officeDocument/2006/relationships/image" Target="../media/image4.png"/><Relationship Id="rId1" Type="http://schemas.openxmlformats.org/officeDocument/2006/relationships/image" Target="../media/image1.jpeg"/><Relationship Id="rId6" Type="http://schemas.openxmlformats.org/officeDocument/2006/relationships/image" Target="../media/image10.png"/><Relationship Id="rId5" Type="http://schemas.openxmlformats.org/officeDocument/2006/relationships/image" Target="../media/image21.png"/><Relationship Id="rId4" Type="http://schemas.openxmlformats.org/officeDocument/2006/relationships/image" Target="../media/image3.PNG"/></Relationships>
</file>

<file path=xl/drawings/_rels/drawing13.xml.rels><?xml version="1.0" encoding="UTF-8" standalone="yes"?>
<Relationships xmlns="http://schemas.openxmlformats.org/package/2006/relationships"><Relationship Id="rId3" Type="http://schemas.openxmlformats.org/officeDocument/2006/relationships/image" Target="../media/image22.png"/><Relationship Id="rId2" Type="http://schemas.openxmlformats.org/officeDocument/2006/relationships/image" Target="../media/image3.PNG"/><Relationship Id="rId1" Type="http://schemas.openxmlformats.org/officeDocument/2006/relationships/image" Target="../media/image1.jpeg"/><Relationship Id="rId5" Type="http://schemas.openxmlformats.org/officeDocument/2006/relationships/image" Target="../media/image8.PNG"/><Relationship Id="rId4" Type="http://schemas.openxmlformats.org/officeDocument/2006/relationships/image" Target="../media/image4.png"/></Relationships>
</file>

<file path=xl/drawings/_rels/drawing14.xml.rels><?xml version="1.0" encoding="UTF-8" standalone="yes"?>
<Relationships xmlns="http://schemas.openxmlformats.org/package/2006/relationships"><Relationship Id="rId3" Type="http://schemas.openxmlformats.org/officeDocument/2006/relationships/image" Target="../media/image8.PNG"/><Relationship Id="rId2" Type="http://schemas.openxmlformats.org/officeDocument/2006/relationships/image" Target="../media/image3.PNG"/><Relationship Id="rId1" Type="http://schemas.openxmlformats.org/officeDocument/2006/relationships/image" Target="../media/image1.jpeg"/><Relationship Id="rId6" Type="http://schemas.openxmlformats.org/officeDocument/2006/relationships/image" Target="../media/image10.png"/><Relationship Id="rId5" Type="http://schemas.openxmlformats.org/officeDocument/2006/relationships/image" Target="../media/image4.png"/><Relationship Id="rId4" Type="http://schemas.openxmlformats.org/officeDocument/2006/relationships/image" Target="../media/image23.png"/></Relationships>
</file>

<file path=xl/drawings/_rels/drawing15.xml.rels><?xml version="1.0" encoding="UTF-8" standalone="yes"?>
<Relationships xmlns="http://schemas.openxmlformats.org/package/2006/relationships"><Relationship Id="rId3" Type="http://schemas.openxmlformats.org/officeDocument/2006/relationships/image" Target="../media/image8.PNG"/><Relationship Id="rId2" Type="http://schemas.openxmlformats.org/officeDocument/2006/relationships/image" Target="../media/image4.png"/><Relationship Id="rId1" Type="http://schemas.openxmlformats.org/officeDocument/2006/relationships/image" Target="../media/image1.jpeg"/><Relationship Id="rId5" Type="http://schemas.openxmlformats.org/officeDocument/2006/relationships/image" Target="../media/image24.png"/><Relationship Id="rId4" Type="http://schemas.openxmlformats.org/officeDocument/2006/relationships/image" Target="../media/image3.PNG"/></Relationships>
</file>

<file path=xl/drawings/_rels/drawing16.xml.rels><?xml version="1.0" encoding="UTF-8" standalone="yes"?>
<Relationships xmlns="http://schemas.openxmlformats.org/package/2006/relationships"><Relationship Id="rId3" Type="http://schemas.openxmlformats.org/officeDocument/2006/relationships/image" Target="../media/image3.PNG"/><Relationship Id="rId7" Type="http://schemas.openxmlformats.org/officeDocument/2006/relationships/image" Target="../media/image9.png"/><Relationship Id="rId2" Type="http://schemas.openxmlformats.org/officeDocument/2006/relationships/image" Target="../media/image1.jpeg"/><Relationship Id="rId1" Type="http://schemas.openxmlformats.org/officeDocument/2006/relationships/image" Target="../media/image10.png"/><Relationship Id="rId6" Type="http://schemas.openxmlformats.org/officeDocument/2006/relationships/image" Target="../media/image4.png"/><Relationship Id="rId5" Type="http://schemas.openxmlformats.org/officeDocument/2006/relationships/image" Target="../media/image23.png"/><Relationship Id="rId4" Type="http://schemas.openxmlformats.org/officeDocument/2006/relationships/image" Target="../media/image8.PNG"/></Relationships>
</file>

<file path=xl/drawings/_rels/drawing2.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jpeg"/></Relationships>
</file>

<file path=xl/drawings/_rels/drawing3.xml.rels><?xml version="1.0" encoding="UTF-8" standalone="yes"?>
<Relationships xmlns="http://schemas.openxmlformats.org/package/2006/relationships"><Relationship Id="rId3" Type="http://schemas.openxmlformats.org/officeDocument/2006/relationships/image" Target="../media/image8.PNG"/><Relationship Id="rId7" Type="http://schemas.openxmlformats.org/officeDocument/2006/relationships/image" Target="../media/image10.png"/><Relationship Id="rId2" Type="http://schemas.openxmlformats.org/officeDocument/2006/relationships/image" Target="../media/image4.png"/><Relationship Id="rId1" Type="http://schemas.openxmlformats.org/officeDocument/2006/relationships/image" Target="../media/image1.jpeg"/><Relationship Id="rId6" Type="http://schemas.openxmlformats.org/officeDocument/2006/relationships/image" Target="../media/image9.png"/><Relationship Id="rId5" Type="http://schemas.openxmlformats.org/officeDocument/2006/relationships/image" Target="../media/image5.png"/><Relationship Id="rId4" Type="http://schemas.openxmlformats.org/officeDocument/2006/relationships/image" Target="../media/image3.PNG"/></Relationships>
</file>

<file path=xl/drawings/_rels/drawing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1.jpeg"/><Relationship Id="rId1" Type="http://schemas.openxmlformats.org/officeDocument/2006/relationships/image" Target="../media/image8.PNG"/><Relationship Id="rId5" Type="http://schemas.openxmlformats.org/officeDocument/2006/relationships/image" Target="../media/image11.png"/><Relationship Id="rId4" Type="http://schemas.openxmlformats.org/officeDocument/2006/relationships/image" Target="../media/image4.png"/></Relationships>
</file>

<file path=xl/drawings/_rels/drawing5.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8.PNG"/><Relationship Id="rId1" Type="http://schemas.openxmlformats.org/officeDocument/2006/relationships/image" Target="../media/image12.jpeg"/><Relationship Id="rId5" Type="http://schemas.openxmlformats.org/officeDocument/2006/relationships/image" Target="../media/image14.png"/><Relationship Id="rId4" Type="http://schemas.openxmlformats.org/officeDocument/2006/relationships/image" Target="../media/image13.png"/></Relationships>
</file>

<file path=xl/drawings/_rels/drawing6.xml.rels><?xml version="1.0" encoding="UTF-8" standalone="yes"?>
<Relationships xmlns="http://schemas.openxmlformats.org/package/2006/relationships"><Relationship Id="rId2" Type="http://schemas.openxmlformats.org/officeDocument/2006/relationships/image" Target="../media/image15.pn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3" Type="http://schemas.openxmlformats.org/officeDocument/2006/relationships/image" Target="../media/image16.png"/><Relationship Id="rId2" Type="http://schemas.openxmlformats.org/officeDocument/2006/relationships/image" Target="../media/image1.jpeg"/><Relationship Id="rId1" Type="http://schemas.openxmlformats.org/officeDocument/2006/relationships/image" Target="../media/image8.PNG"/><Relationship Id="rId5" Type="http://schemas.openxmlformats.org/officeDocument/2006/relationships/image" Target="../media/image4.png"/><Relationship Id="rId4" Type="http://schemas.openxmlformats.org/officeDocument/2006/relationships/image" Target="../media/image3.PNG"/></Relationships>
</file>

<file path=xl/drawings/_rels/drawing8.xml.rels><?xml version="1.0" encoding="UTF-8" standalone="yes"?>
<Relationships xmlns="http://schemas.openxmlformats.org/package/2006/relationships"><Relationship Id="rId3" Type="http://schemas.openxmlformats.org/officeDocument/2006/relationships/image" Target="../media/image17.png"/><Relationship Id="rId2" Type="http://schemas.openxmlformats.org/officeDocument/2006/relationships/image" Target="../media/image1.jpeg"/><Relationship Id="rId1" Type="http://schemas.openxmlformats.org/officeDocument/2006/relationships/image" Target="../media/image8.PNG"/><Relationship Id="rId5" Type="http://schemas.openxmlformats.org/officeDocument/2006/relationships/image" Target="../media/image4.png"/><Relationship Id="rId4" Type="http://schemas.openxmlformats.org/officeDocument/2006/relationships/image" Target="../media/image3.PNG"/></Relationships>
</file>

<file path=xl/drawings/_rels/drawing9.xml.rels><?xml version="1.0" encoding="UTF-8" standalone="yes"?>
<Relationships xmlns="http://schemas.openxmlformats.org/package/2006/relationships"><Relationship Id="rId3" Type="http://schemas.openxmlformats.org/officeDocument/2006/relationships/image" Target="../media/image19.png"/><Relationship Id="rId2" Type="http://schemas.openxmlformats.org/officeDocument/2006/relationships/image" Target="../media/image3.PNG"/><Relationship Id="rId1" Type="http://schemas.openxmlformats.org/officeDocument/2006/relationships/image" Target="../media/image18.jpeg"/><Relationship Id="rId5" Type="http://schemas.openxmlformats.org/officeDocument/2006/relationships/image" Target="../media/image8.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219075</xdr:colOff>
      <xdr:row>0</xdr:row>
      <xdr:rowOff>123824</xdr:rowOff>
    </xdr:from>
    <xdr:to>
      <xdr:col>2</xdr:col>
      <xdr:colOff>1423670</xdr:colOff>
      <xdr:row>0</xdr:row>
      <xdr:rowOff>976749</xdr:rowOff>
    </xdr:to>
    <xdr:pic>
      <xdr:nvPicPr>
        <xdr:cNvPr id="4" name="Picture 4" descr="xl/media/image1.jpeg">
          <a:extLst>
            <a:ext uri="{FF2B5EF4-FFF2-40B4-BE49-F238E27FC236}">
              <a16:creationId xmlns=""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153035" y="61595"/>
          <a:ext cx="3252470" cy="855980"/>
        </a:xfrm>
        <a:prstGeom prst="rect">
          <a:avLst/>
        </a:prstGeom>
        <a:noFill/>
        <a:ln w="0" cap="flat" cmpd="sng">
          <a:noFill/>
          <a:prstDash/>
        </a:ln>
      </xdr:spPr>
    </xdr:pic>
    <xdr:clientData/>
  </xdr:twoCellAnchor>
  <xdr:twoCellAnchor editAs="oneCell">
    <xdr:from>
      <xdr:col>24</xdr:col>
      <xdr:colOff>503555</xdr:colOff>
      <xdr:row>0</xdr:row>
      <xdr:rowOff>111760</xdr:rowOff>
    </xdr:from>
    <xdr:to>
      <xdr:col>24</xdr:col>
      <xdr:colOff>2487930</xdr:colOff>
      <xdr:row>0</xdr:row>
      <xdr:rowOff>1001399</xdr:rowOff>
    </xdr:to>
    <xdr:pic>
      <xdr:nvPicPr>
        <xdr:cNvPr id="5" name="Picture 7" descr="xl/media/image2.png">
          <a:extLst>
            <a:ext uri="{FF2B5EF4-FFF2-40B4-BE49-F238E27FC236}">
              <a16:creationId xmlns="" xmlns:a16="http://schemas.microsoft.com/office/drawing/2014/main" id="{00000000-0008-0000-00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1130" t="25043" r="1130" b="22235"/>
        <a:stretch>
          <a:fillRect/>
        </a:stretch>
      </xdr:blipFill>
      <xdr:spPr>
        <a:xfrm>
          <a:off x="14248765" y="49530"/>
          <a:ext cx="1984374" cy="897890"/>
        </a:xfrm>
        <a:prstGeom prst="rect">
          <a:avLst/>
        </a:prstGeom>
        <a:noFill/>
      </xdr:spPr>
    </xdr:pic>
    <xdr:clientData/>
  </xdr:twoCellAnchor>
  <xdr:twoCellAnchor editAs="oneCell">
    <xdr:from>
      <xdr:col>0</xdr:col>
      <xdr:colOff>0</xdr:colOff>
      <xdr:row>238</xdr:row>
      <xdr:rowOff>56403</xdr:rowOff>
    </xdr:from>
    <xdr:to>
      <xdr:col>23</xdr:col>
      <xdr:colOff>693763</xdr:colOff>
      <xdr:row>250</xdr:row>
      <xdr:rowOff>138355</xdr:rowOff>
    </xdr:to>
    <xdr:pic>
      <xdr:nvPicPr>
        <xdr:cNvPr id="6" name="Picture 5" descr="xl/media/image3.PNG">
          <a:extLst>
            <a:ext uri="{FF2B5EF4-FFF2-40B4-BE49-F238E27FC236}">
              <a16:creationId xmlns="" xmlns:a16="http://schemas.microsoft.com/office/drawing/2014/main" id="{00000000-0008-0000-0000-00000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a:xfrm>
          <a:off x="0" y="97132962"/>
          <a:ext cx="13569322" cy="1964540"/>
        </a:xfrm>
        <a:prstGeom prst="rect">
          <a:avLst/>
        </a:prstGeom>
        <a:noFill/>
      </xdr:spPr>
    </xdr:pic>
    <xdr:clientData/>
  </xdr:twoCellAnchor>
  <xdr:twoCellAnchor>
    <xdr:from>
      <xdr:col>2</xdr:col>
      <xdr:colOff>681355</xdr:colOff>
      <xdr:row>243</xdr:row>
      <xdr:rowOff>59055</xdr:rowOff>
    </xdr:from>
    <xdr:to>
      <xdr:col>2</xdr:col>
      <xdr:colOff>1676400</xdr:colOff>
      <xdr:row>246</xdr:row>
      <xdr:rowOff>34925</xdr:rowOff>
    </xdr:to>
    <xdr:pic>
      <xdr:nvPicPr>
        <xdr:cNvPr id="7" name="Picture 1" descr="xl/media/image4.png">
          <a:extLst>
            <a:ext uri="{FF2B5EF4-FFF2-40B4-BE49-F238E27FC236}">
              <a16:creationId xmlns="" xmlns:a16="http://schemas.microsoft.com/office/drawing/2014/main" id="{00000000-0008-0000-0000-000007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a:xfrm>
          <a:off x="2663190" y="93456125"/>
          <a:ext cx="995044" cy="461645"/>
        </a:xfrm>
        <a:prstGeom prst="rect">
          <a:avLst/>
        </a:prstGeom>
        <a:noFill/>
        <a:ln w="0" cap="flat" cmpd="sng">
          <a:noFill/>
          <a:prstDash/>
        </a:ln>
      </xdr:spPr>
    </xdr:pic>
    <xdr:clientData/>
  </xdr:twoCellAnchor>
  <xdr:twoCellAnchor editAs="oneCell">
    <xdr:from>
      <xdr:col>0</xdr:col>
      <xdr:colOff>840740</xdr:colOff>
      <xdr:row>243</xdr:row>
      <xdr:rowOff>31114</xdr:rowOff>
    </xdr:from>
    <xdr:to>
      <xdr:col>1</xdr:col>
      <xdr:colOff>709295</xdr:colOff>
      <xdr:row>246</xdr:row>
      <xdr:rowOff>33019</xdr:rowOff>
    </xdr:to>
    <xdr:pic>
      <xdr:nvPicPr>
        <xdr:cNvPr id="8" name="Picture 7" descr="xl/media/image5.png">
          <a:extLst>
            <a:ext uri="{FF2B5EF4-FFF2-40B4-BE49-F238E27FC236}">
              <a16:creationId xmlns="" xmlns:a16="http://schemas.microsoft.com/office/drawing/2014/main" id="{00000000-0008-0000-0000-000008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a:xfrm>
          <a:off x="774700" y="93428185"/>
          <a:ext cx="735330" cy="487680"/>
        </a:xfrm>
        <a:prstGeom prst="rect">
          <a:avLst/>
        </a:prstGeom>
        <a:noFill/>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0</xdr:row>
      <xdr:rowOff>108585</xdr:rowOff>
    </xdr:from>
    <xdr:to>
      <xdr:col>4</xdr:col>
      <xdr:colOff>1127125</xdr:colOff>
      <xdr:row>0</xdr:row>
      <xdr:rowOff>1584325</xdr:rowOff>
    </xdr:to>
    <xdr:pic>
      <xdr:nvPicPr>
        <xdr:cNvPr id="2" name="Picture 4" descr="xl/media/image1.jpeg">
          <a:extLst>
            <a:ext uri="{FF2B5EF4-FFF2-40B4-BE49-F238E27FC236}">
              <a16:creationId xmlns="" xmlns:a16="http://schemas.microsoft.com/office/drawing/2014/main" id="{00000000-0008-0000-0B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0" y="46355"/>
          <a:ext cx="9547225" cy="1475740"/>
        </a:xfrm>
        <a:prstGeom prst="rect">
          <a:avLst/>
        </a:prstGeom>
        <a:noFill/>
        <a:ln w="0" cap="flat" cmpd="sng">
          <a:noFill/>
          <a:prstDash/>
        </a:ln>
      </xdr:spPr>
    </xdr:pic>
    <xdr:clientData/>
  </xdr:twoCellAnchor>
  <xdr:twoCellAnchor>
    <xdr:from>
      <xdr:col>8</xdr:col>
      <xdr:colOff>2540</xdr:colOff>
      <xdr:row>1</xdr:row>
      <xdr:rowOff>0</xdr:rowOff>
    </xdr:from>
    <xdr:to>
      <xdr:col>10</xdr:col>
      <xdr:colOff>0</xdr:colOff>
      <xdr:row>1</xdr:row>
      <xdr:rowOff>0</xdr:rowOff>
    </xdr:to>
    <xdr:grpSp>
      <xdr:nvGrpSpPr>
        <xdr:cNvPr id="3" name="Group 4">
          <a:extLst>
            <a:ext uri="{FF2B5EF4-FFF2-40B4-BE49-F238E27FC236}">
              <a16:creationId xmlns="" xmlns:a16="http://schemas.microsoft.com/office/drawing/2014/main" id="{00000000-0008-0000-0B00-000003000000}"/>
            </a:ext>
          </a:extLst>
        </xdr:cNvPr>
        <xdr:cNvGrpSpPr/>
      </xdr:nvGrpSpPr>
      <xdr:grpSpPr>
        <a:xfrm>
          <a:off x="16853131" y="1783773"/>
          <a:ext cx="3218642" cy="0"/>
          <a:chOff x="16757650" y="1718945"/>
          <a:chExt cx="3207385" cy="0"/>
        </a:xfrm>
      </xdr:grpSpPr>
      <xdr:sp macro="" textlink="">
        <xdr:nvSpPr>
          <xdr:cNvPr id="4" name="Freeform 5">
            <a:extLst>
              <a:ext uri="{FF2B5EF4-FFF2-40B4-BE49-F238E27FC236}">
                <a16:creationId xmlns="" xmlns:a16="http://schemas.microsoft.com/office/drawing/2014/main" id="{00000000-0008-0000-0B00-000004000000}"/>
              </a:ext>
            </a:extLst>
          </xdr:cNvPr>
          <xdr:cNvSpPr>
            <a:spLocks/>
          </xdr:cNvSpPr>
        </xdr:nvSpPr>
        <xdr:spPr>
          <a:xfrm>
            <a:off x="0" y="0"/>
            <a:ext cx="0" cy="0"/>
          </a:xfrm>
          <a:custGeom>
            <a:avLst/>
            <a:gdLst/>
            <a:ahLst/>
            <a:cxnLst/>
            <a:rect l="0" t="0" r="0" b="0"/>
            <a:pathLst>
              <a:path w="43" h="51">
                <a:moveTo>
                  <a:pt x="0" y="1"/>
                </a:moveTo>
                <a:cubicBezTo>
                  <a:pt x="4" y="0"/>
                  <a:pt x="9" y="0"/>
                  <a:pt x="14" y="0"/>
                </a:cubicBezTo>
                <a:cubicBezTo>
                  <a:pt x="24" y="0"/>
                  <a:pt x="30" y="2"/>
                  <a:pt x="35" y="6"/>
                </a:cubicBezTo>
                <a:cubicBezTo>
                  <a:pt x="40" y="10"/>
                  <a:pt x="43" y="16"/>
                  <a:pt x="43" y="24"/>
                </a:cubicBezTo>
                <a:cubicBezTo>
                  <a:pt x="43" y="33"/>
                  <a:pt x="40" y="40"/>
                  <a:pt x="35" y="44"/>
                </a:cubicBezTo>
                <a:cubicBezTo>
                  <a:pt x="30" y="49"/>
                  <a:pt x="22" y="51"/>
                  <a:pt x="12" y="51"/>
                </a:cubicBezTo>
                <a:cubicBezTo>
                  <a:pt x="7" y="51"/>
                  <a:pt x="3" y="51"/>
                  <a:pt x="0" y="51"/>
                </a:cubicBezTo>
                <a:lnTo>
                  <a:pt x="0" y="1"/>
                </a:lnTo>
                <a:moveTo>
                  <a:pt x="9" y="44"/>
                </a:moveTo>
                <a:cubicBezTo>
                  <a:pt x="10" y="44"/>
                  <a:pt x="12" y="44"/>
                  <a:pt x="14" y="44"/>
                </a:cubicBezTo>
                <a:cubicBezTo>
                  <a:pt x="26" y="44"/>
                  <a:pt x="33" y="37"/>
                  <a:pt x="33" y="25"/>
                </a:cubicBezTo>
                <a:cubicBezTo>
                  <a:pt x="33" y="13"/>
                  <a:pt x="27" y="7"/>
                  <a:pt x="15" y="7"/>
                </a:cubicBezTo>
                <a:cubicBezTo>
                  <a:pt x="12" y="7"/>
                  <a:pt x="10" y="7"/>
                  <a:pt x="9" y="8"/>
                </a:cubicBezTo>
                <a:lnTo>
                  <a:pt x="9" y="44"/>
                </a:lnTo>
                <a:close/>
              </a:path>
            </a:pathLst>
          </a:custGeom>
          <a:solidFill>
            <a:srgbClr val="0071B1"/>
          </a:solidFill>
          <a:ln w="0" cap="flat" cmpd="sng">
            <a:noFill/>
            <a:prstDash/>
          </a:ln>
        </xdr:spPr>
      </xdr:sp>
      <xdr:sp macro="" textlink="">
        <xdr:nvSpPr>
          <xdr:cNvPr id="5" name="Freeform 6">
            <a:extLst>
              <a:ext uri="{FF2B5EF4-FFF2-40B4-BE49-F238E27FC236}">
                <a16:creationId xmlns="" xmlns:a16="http://schemas.microsoft.com/office/drawing/2014/main" id="{00000000-0008-0000-0B00-000005000000}"/>
              </a:ext>
            </a:extLst>
          </xdr:cNvPr>
          <xdr:cNvSpPr>
            <a:spLocks/>
          </xdr:cNvSpPr>
        </xdr:nvSpPr>
        <xdr:spPr>
          <a:xfrm>
            <a:off x="0" y="0"/>
            <a:ext cx="0" cy="0"/>
          </a:xfrm>
          <a:custGeom>
            <a:avLst/>
            <a:gdLst/>
            <a:ahLst/>
            <a:cxnLst/>
            <a:rect l="0" t="0" r="0" b="0"/>
            <a:pathLst>
              <a:path w="48" h="53">
                <a:moveTo>
                  <a:pt x="48" y="26"/>
                </a:moveTo>
                <a:cubicBezTo>
                  <a:pt x="48" y="43"/>
                  <a:pt x="38" y="53"/>
                  <a:pt x="24" y="53"/>
                </a:cubicBezTo>
                <a:cubicBezTo>
                  <a:pt x="9" y="53"/>
                  <a:pt x="0" y="42"/>
                  <a:pt x="0" y="27"/>
                </a:cubicBezTo>
                <a:cubicBezTo>
                  <a:pt x="0" y="11"/>
                  <a:pt x="10" y="0"/>
                  <a:pt x="24" y="0"/>
                </a:cubicBezTo>
                <a:cubicBezTo>
                  <a:pt x="39" y="0"/>
                  <a:pt x="48" y="12"/>
                  <a:pt x="48" y="26"/>
                </a:cubicBezTo>
                <a:moveTo>
                  <a:pt x="10" y="27"/>
                </a:moveTo>
                <a:cubicBezTo>
                  <a:pt x="10" y="37"/>
                  <a:pt x="15" y="45"/>
                  <a:pt x="24" y="45"/>
                </a:cubicBezTo>
                <a:cubicBezTo>
                  <a:pt x="33" y="45"/>
                  <a:pt x="38" y="37"/>
                  <a:pt x="38" y="26"/>
                </a:cubicBezTo>
                <a:cubicBezTo>
                  <a:pt x="38" y="17"/>
                  <a:pt x="33" y="8"/>
                  <a:pt x="24" y="8"/>
                </a:cubicBezTo>
                <a:cubicBezTo>
                  <a:pt x="15" y="8"/>
                  <a:pt x="10" y="16"/>
                  <a:pt x="10" y="27"/>
                </a:cubicBezTo>
                <a:close/>
              </a:path>
            </a:pathLst>
          </a:custGeom>
          <a:solidFill>
            <a:srgbClr val="0071B1"/>
          </a:solidFill>
          <a:ln w="0" cap="flat" cmpd="sng">
            <a:noFill/>
            <a:prstDash/>
          </a:ln>
        </xdr:spPr>
      </xdr:sp>
      <xdr:sp macro="" textlink="">
        <xdr:nvSpPr>
          <xdr:cNvPr id="6" name="Freeform 7">
            <a:extLst>
              <a:ext uri="{FF2B5EF4-FFF2-40B4-BE49-F238E27FC236}">
                <a16:creationId xmlns="" xmlns:a16="http://schemas.microsoft.com/office/drawing/2014/main" id="{00000000-0008-0000-0B00-000006000000}"/>
              </a:ext>
            </a:extLst>
          </xdr:cNvPr>
          <xdr:cNvSpPr>
            <a:spLocks/>
          </xdr:cNvSpPr>
        </xdr:nvSpPr>
        <xdr:spPr>
          <a:xfrm>
            <a:off x="0" y="0"/>
            <a:ext cx="0" cy="0"/>
          </a:xfrm>
          <a:custGeom>
            <a:avLst/>
            <a:gdLst/>
            <a:ahLst/>
            <a:cxnLst/>
            <a:rect l="0" t="0" r="0" b="0"/>
            <a:pathLst>
              <a:path w="30" h="53">
                <a:moveTo>
                  <a:pt x="1" y="44"/>
                </a:moveTo>
                <a:cubicBezTo>
                  <a:pt x="4" y="46"/>
                  <a:pt x="8" y="47"/>
                  <a:pt x="13" y="47"/>
                </a:cubicBezTo>
                <a:cubicBezTo>
                  <a:pt x="20" y="47"/>
                  <a:pt x="24" y="44"/>
                  <a:pt x="24" y="39"/>
                </a:cubicBezTo>
                <a:cubicBezTo>
                  <a:pt x="24" y="34"/>
                  <a:pt x="21" y="31"/>
                  <a:pt x="14" y="29"/>
                </a:cubicBezTo>
                <a:cubicBezTo>
                  <a:pt x="6" y="26"/>
                  <a:pt x="1" y="21"/>
                  <a:pt x="1" y="14"/>
                </a:cubicBezTo>
                <a:cubicBezTo>
                  <a:pt x="1" y="6"/>
                  <a:pt x="7" y="0"/>
                  <a:pt x="17" y="0"/>
                </a:cubicBezTo>
                <a:cubicBezTo>
                  <a:pt x="22" y="0"/>
                  <a:pt x="26" y="2"/>
                  <a:pt x="28" y="3"/>
                </a:cubicBezTo>
                <a:cubicBezTo>
                  <a:pt x="26" y="8"/>
                  <a:pt x="26" y="8"/>
                  <a:pt x="26" y="8"/>
                </a:cubicBezTo>
                <a:cubicBezTo>
                  <a:pt x="25" y="7"/>
                  <a:pt x="21" y="6"/>
                  <a:pt x="17" y="6"/>
                </a:cubicBezTo>
                <a:cubicBezTo>
                  <a:pt x="10" y="6"/>
                  <a:pt x="7" y="10"/>
                  <a:pt x="7" y="13"/>
                </a:cubicBezTo>
                <a:cubicBezTo>
                  <a:pt x="7" y="18"/>
                  <a:pt x="10" y="20"/>
                  <a:pt x="17" y="23"/>
                </a:cubicBezTo>
                <a:cubicBezTo>
                  <a:pt x="26" y="26"/>
                  <a:pt x="30" y="31"/>
                  <a:pt x="30" y="38"/>
                </a:cubicBezTo>
                <a:cubicBezTo>
                  <a:pt x="30" y="46"/>
                  <a:pt x="24" y="53"/>
                  <a:pt x="13" y="53"/>
                </a:cubicBezTo>
                <a:cubicBezTo>
                  <a:pt x="8" y="53"/>
                  <a:pt x="2" y="51"/>
                  <a:pt x="0" y="49"/>
                </a:cubicBezTo>
                <a:lnTo>
                  <a:pt x="1" y="44"/>
                </a:lnTo>
                <a:close/>
              </a:path>
            </a:pathLst>
          </a:custGeom>
          <a:solidFill>
            <a:srgbClr val="0071B1"/>
          </a:solidFill>
          <a:ln w="0" cap="flat" cmpd="sng">
            <a:noFill/>
            <a:prstDash/>
          </a:ln>
        </xdr:spPr>
      </xdr:sp>
      <xdr:sp macro="" textlink="">
        <xdr:nvSpPr>
          <xdr:cNvPr id="7" name="Freeform 8">
            <a:extLst>
              <a:ext uri="{FF2B5EF4-FFF2-40B4-BE49-F238E27FC236}">
                <a16:creationId xmlns="" xmlns:a16="http://schemas.microsoft.com/office/drawing/2014/main" id="{00000000-0008-0000-0B00-000007000000}"/>
              </a:ext>
            </a:extLst>
          </xdr:cNvPr>
          <xdr:cNvSpPr>
            <a:spLocks/>
          </xdr:cNvSpPr>
        </xdr:nvSpPr>
        <xdr:spPr>
          <a:xfrm>
            <a:off x="0" y="0"/>
            <a:ext cx="0" cy="0"/>
          </a:xfrm>
          <a:custGeom>
            <a:avLst/>
            <a:gdLst/>
            <a:ahLst/>
            <a:cxnLst/>
            <a:rect l="0" t="0" r="0" b="0"/>
            <a:pathLst>
              <a:path w="90" h="122">
                <a:moveTo>
                  <a:pt x="16" y="0"/>
                </a:moveTo>
                <a:lnTo>
                  <a:pt x="16" y="50"/>
                </a:lnTo>
                <a:lnTo>
                  <a:pt x="73" y="50"/>
                </a:lnTo>
                <a:lnTo>
                  <a:pt x="73" y="0"/>
                </a:lnTo>
                <a:lnTo>
                  <a:pt x="90" y="0"/>
                </a:lnTo>
                <a:lnTo>
                  <a:pt x="90" y="122"/>
                </a:lnTo>
                <a:lnTo>
                  <a:pt x="73" y="122"/>
                </a:lnTo>
                <a:lnTo>
                  <a:pt x="73" y="64"/>
                </a:lnTo>
                <a:lnTo>
                  <a:pt x="16" y="64"/>
                </a:lnTo>
                <a:lnTo>
                  <a:pt x="16" y="122"/>
                </a:lnTo>
                <a:lnTo>
                  <a:pt x="0" y="122"/>
                </a:lnTo>
                <a:lnTo>
                  <a:pt x="0" y="0"/>
                </a:lnTo>
                <a:lnTo>
                  <a:pt x="16" y="0"/>
                </a:lnTo>
                <a:close/>
              </a:path>
            </a:pathLst>
          </a:custGeom>
          <a:solidFill>
            <a:srgbClr val="0071B1"/>
          </a:solidFill>
          <a:ln w="0" cap="flat" cmpd="sng">
            <a:noFill/>
            <a:prstDash/>
          </a:ln>
        </xdr:spPr>
      </xdr:sp>
      <xdr:sp macro="" textlink="">
        <xdr:nvSpPr>
          <xdr:cNvPr id="8" name="Rectangle 9">
            <a:extLst>
              <a:ext uri="{FF2B5EF4-FFF2-40B4-BE49-F238E27FC236}">
                <a16:creationId xmlns="" xmlns:a16="http://schemas.microsoft.com/office/drawing/2014/main" id="{00000000-0008-0000-0B00-000008000000}"/>
              </a:ext>
            </a:extLst>
          </xdr:cNvPr>
          <xdr:cNvSpPr>
            <a:spLocks/>
          </xdr:cNvSpPr>
        </xdr:nvSpPr>
        <xdr:spPr>
          <a:xfrm>
            <a:off x="0" y="0"/>
            <a:ext cx="0" cy="0"/>
          </a:xfrm>
          <a:prstGeom prst="rect">
            <a:avLst/>
          </a:prstGeom>
          <a:solidFill>
            <a:srgbClr val="0071B1"/>
          </a:solidFill>
          <a:ln w="0" cap="flat" cmpd="sng">
            <a:noFill/>
            <a:prstDash/>
          </a:ln>
        </xdr:spPr>
      </xdr:sp>
      <xdr:sp macro="" textlink="">
        <xdr:nvSpPr>
          <xdr:cNvPr id="9" name="Freeform 10">
            <a:extLst>
              <a:ext uri="{FF2B5EF4-FFF2-40B4-BE49-F238E27FC236}">
                <a16:creationId xmlns="" xmlns:a16="http://schemas.microsoft.com/office/drawing/2014/main" id="{00000000-0008-0000-0B00-000009000000}"/>
              </a:ext>
            </a:extLst>
          </xdr:cNvPr>
          <xdr:cNvSpPr>
            <a:spLocks/>
          </xdr:cNvSpPr>
        </xdr:nvSpPr>
        <xdr:spPr>
          <a:xfrm>
            <a:off x="0" y="0"/>
            <a:ext cx="0" cy="0"/>
          </a:xfrm>
          <a:custGeom>
            <a:avLst/>
            <a:gdLst/>
            <a:ahLst/>
            <a:cxnLst/>
            <a:rect l="0" t="0" r="0" b="0"/>
            <a:pathLst>
              <a:path w="26" h="35">
                <a:moveTo>
                  <a:pt x="26" y="33"/>
                </a:moveTo>
                <a:cubicBezTo>
                  <a:pt x="24" y="34"/>
                  <a:pt x="21" y="35"/>
                  <a:pt x="17" y="35"/>
                </a:cubicBezTo>
                <a:cubicBezTo>
                  <a:pt x="8" y="35"/>
                  <a:pt x="0" y="29"/>
                  <a:pt x="0" y="18"/>
                </a:cubicBezTo>
                <a:cubicBezTo>
                  <a:pt x="0" y="7"/>
                  <a:pt x="8" y="0"/>
                  <a:pt x="18" y="0"/>
                </a:cubicBezTo>
                <a:cubicBezTo>
                  <a:pt x="22" y="0"/>
                  <a:pt x="25" y="1"/>
                  <a:pt x="26" y="2"/>
                </a:cubicBezTo>
                <a:cubicBezTo>
                  <a:pt x="25" y="5"/>
                  <a:pt x="25" y="5"/>
                  <a:pt x="25" y="5"/>
                </a:cubicBezTo>
                <a:cubicBezTo>
                  <a:pt x="23" y="4"/>
                  <a:pt x="21" y="4"/>
                  <a:pt x="18" y="4"/>
                </a:cubicBezTo>
                <a:cubicBezTo>
                  <a:pt x="10" y="4"/>
                  <a:pt x="5" y="9"/>
                  <a:pt x="5" y="18"/>
                </a:cubicBezTo>
                <a:cubicBezTo>
                  <a:pt x="5" y="26"/>
                  <a:pt x="10" y="31"/>
                  <a:pt x="18" y="31"/>
                </a:cubicBezTo>
                <a:cubicBezTo>
                  <a:pt x="21" y="31"/>
                  <a:pt x="23" y="31"/>
                  <a:pt x="25" y="30"/>
                </a:cubicBezTo>
                <a:lnTo>
                  <a:pt x="26" y="33"/>
                </a:lnTo>
                <a:close/>
              </a:path>
            </a:pathLst>
          </a:custGeom>
          <a:solidFill>
            <a:srgbClr val="0071B1"/>
          </a:solidFill>
          <a:ln w="0" cap="flat" cmpd="sng">
            <a:noFill/>
            <a:prstDash/>
          </a:ln>
        </xdr:spPr>
      </xdr:sp>
      <xdr:sp macro="" textlink="">
        <xdr:nvSpPr>
          <xdr:cNvPr id="10" name="Freeform 11">
            <a:extLst>
              <a:ext uri="{FF2B5EF4-FFF2-40B4-BE49-F238E27FC236}">
                <a16:creationId xmlns="" xmlns:a16="http://schemas.microsoft.com/office/drawing/2014/main" id="{00000000-0008-0000-0B00-00000A000000}"/>
              </a:ext>
            </a:extLst>
          </xdr:cNvPr>
          <xdr:cNvSpPr>
            <a:spLocks/>
          </xdr:cNvSpPr>
        </xdr:nvSpPr>
        <xdr:spPr>
          <a:xfrm>
            <a:off x="0" y="0"/>
            <a:ext cx="0" cy="0"/>
          </a:xfrm>
          <a:custGeom>
            <a:avLst/>
            <a:gdLst/>
            <a:ahLst/>
            <a:cxnLst/>
            <a:rect l="0" t="0" r="0" b="0"/>
            <a:pathLst>
              <a:path w="24" h="25">
                <a:moveTo>
                  <a:pt x="24" y="12"/>
                </a:moveTo>
                <a:cubicBezTo>
                  <a:pt x="24" y="21"/>
                  <a:pt x="17" y="25"/>
                  <a:pt x="12" y="25"/>
                </a:cubicBezTo>
                <a:cubicBezTo>
                  <a:pt x="5" y="25"/>
                  <a:pt x="0" y="20"/>
                  <a:pt x="0" y="12"/>
                </a:cubicBezTo>
                <a:cubicBezTo>
                  <a:pt x="0" y="4"/>
                  <a:pt x="5" y="0"/>
                  <a:pt x="12" y="0"/>
                </a:cubicBezTo>
                <a:cubicBezTo>
                  <a:pt x="19" y="0"/>
                  <a:pt x="24" y="5"/>
                  <a:pt x="24" y="12"/>
                </a:cubicBezTo>
                <a:moveTo>
                  <a:pt x="4" y="12"/>
                </a:moveTo>
                <a:cubicBezTo>
                  <a:pt x="4" y="18"/>
                  <a:pt x="7" y="22"/>
                  <a:pt x="12" y="22"/>
                </a:cubicBezTo>
                <a:cubicBezTo>
                  <a:pt x="16" y="22"/>
                  <a:pt x="19" y="18"/>
                  <a:pt x="19" y="12"/>
                </a:cubicBezTo>
                <a:cubicBezTo>
                  <a:pt x="19" y="8"/>
                  <a:pt x="17" y="3"/>
                  <a:pt x="12" y="3"/>
                </a:cubicBezTo>
                <a:cubicBezTo>
                  <a:pt x="7" y="3"/>
                  <a:pt x="4" y="8"/>
                  <a:pt x="4" y="12"/>
                </a:cubicBezTo>
                <a:close/>
              </a:path>
            </a:pathLst>
          </a:custGeom>
          <a:solidFill>
            <a:srgbClr val="0071B1"/>
          </a:solidFill>
          <a:ln w="0" cap="flat" cmpd="sng">
            <a:noFill/>
            <a:prstDash/>
          </a:ln>
        </xdr:spPr>
      </xdr:sp>
      <xdr:sp macro="" textlink="">
        <xdr:nvSpPr>
          <xdr:cNvPr id="11" name="Freeform 12">
            <a:extLst>
              <a:ext uri="{FF2B5EF4-FFF2-40B4-BE49-F238E27FC236}">
                <a16:creationId xmlns="" xmlns:a16="http://schemas.microsoft.com/office/drawing/2014/main" id="{00000000-0008-0000-0B00-00000B000000}"/>
              </a:ext>
            </a:extLst>
          </xdr:cNvPr>
          <xdr:cNvSpPr>
            <a:spLocks/>
          </xdr:cNvSpPr>
        </xdr:nvSpPr>
        <xdr:spPr>
          <a:xfrm>
            <a:off x="0" y="0"/>
            <a:ext cx="0" cy="0"/>
          </a:xfrm>
          <a:custGeom>
            <a:avLst/>
            <a:gdLst/>
            <a:ahLst/>
            <a:cxnLst/>
            <a:rect l="0" t="0" r="0" b="0"/>
            <a:pathLst>
              <a:path w="21" h="24">
                <a:moveTo>
                  <a:pt x="0" y="7"/>
                </a:moveTo>
                <a:cubicBezTo>
                  <a:pt x="0" y="4"/>
                  <a:pt x="0" y="2"/>
                  <a:pt x="0" y="0"/>
                </a:cubicBezTo>
                <a:cubicBezTo>
                  <a:pt x="4" y="0"/>
                  <a:pt x="4" y="0"/>
                  <a:pt x="4" y="0"/>
                </a:cubicBezTo>
                <a:cubicBezTo>
                  <a:pt x="4" y="4"/>
                  <a:pt x="4" y="4"/>
                  <a:pt x="4" y="4"/>
                </a:cubicBezTo>
                <a:cubicBezTo>
                  <a:pt x="4" y="4"/>
                  <a:pt x="4" y="4"/>
                  <a:pt x="4" y="4"/>
                </a:cubicBezTo>
                <a:cubicBezTo>
                  <a:pt x="5" y="2"/>
                  <a:pt x="8" y="0"/>
                  <a:pt x="12" y="0"/>
                </a:cubicBezTo>
                <a:cubicBezTo>
                  <a:pt x="16" y="0"/>
                  <a:pt x="21" y="2"/>
                  <a:pt x="21" y="10"/>
                </a:cubicBezTo>
                <a:cubicBezTo>
                  <a:pt x="21" y="24"/>
                  <a:pt x="21" y="24"/>
                  <a:pt x="21" y="24"/>
                </a:cubicBezTo>
                <a:cubicBezTo>
                  <a:pt x="16" y="24"/>
                  <a:pt x="16" y="24"/>
                  <a:pt x="16" y="24"/>
                </a:cubicBezTo>
                <a:cubicBezTo>
                  <a:pt x="16" y="10"/>
                  <a:pt x="16" y="10"/>
                  <a:pt x="16" y="10"/>
                </a:cubicBezTo>
                <a:cubicBezTo>
                  <a:pt x="16" y="7"/>
                  <a:pt x="15" y="3"/>
                  <a:pt x="11" y="3"/>
                </a:cubicBezTo>
                <a:cubicBezTo>
                  <a:pt x="8" y="3"/>
                  <a:pt x="6" y="5"/>
                  <a:pt x="5" y="8"/>
                </a:cubicBezTo>
                <a:cubicBezTo>
                  <a:pt x="5" y="8"/>
                  <a:pt x="5" y="9"/>
                  <a:pt x="5" y="10"/>
                </a:cubicBezTo>
                <a:cubicBezTo>
                  <a:pt x="5" y="24"/>
                  <a:pt x="5" y="24"/>
                  <a:pt x="5" y="24"/>
                </a:cubicBezTo>
                <a:cubicBezTo>
                  <a:pt x="0" y="24"/>
                  <a:pt x="0" y="24"/>
                  <a:pt x="0" y="24"/>
                </a:cubicBezTo>
                <a:lnTo>
                  <a:pt x="0" y="7"/>
                </a:lnTo>
                <a:close/>
              </a:path>
            </a:pathLst>
          </a:custGeom>
          <a:solidFill>
            <a:srgbClr val="0071B1"/>
          </a:solidFill>
          <a:ln w="0" cap="flat" cmpd="sng">
            <a:noFill/>
            <a:prstDash/>
          </a:ln>
        </xdr:spPr>
      </xdr:sp>
      <xdr:sp macro="" textlink="">
        <xdr:nvSpPr>
          <xdr:cNvPr id="12" name="Freeform 13">
            <a:extLst>
              <a:ext uri="{FF2B5EF4-FFF2-40B4-BE49-F238E27FC236}">
                <a16:creationId xmlns="" xmlns:a16="http://schemas.microsoft.com/office/drawing/2014/main" id="{00000000-0008-0000-0B00-00000C000000}"/>
              </a:ext>
            </a:extLst>
          </xdr:cNvPr>
          <xdr:cNvSpPr>
            <a:spLocks/>
          </xdr:cNvSpPr>
        </xdr:nvSpPr>
        <xdr:spPr>
          <a:xfrm>
            <a:off x="0" y="0"/>
            <a:ext cx="0" cy="0"/>
          </a:xfrm>
          <a:custGeom>
            <a:avLst/>
            <a:gdLst/>
            <a:ahLst/>
            <a:cxnLst/>
            <a:rect l="0" t="0" r="0" b="0"/>
            <a:pathLst>
              <a:path w="16" h="25">
                <a:moveTo>
                  <a:pt x="1" y="20"/>
                </a:moveTo>
                <a:cubicBezTo>
                  <a:pt x="3" y="21"/>
                  <a:pt x="5" y="22"/>
                  <a:pt x="7" y="22"/>
                </a:cubicBezTo>
                <a:cubicBezTo>
                  <a:pt x="10" y="22"/>
                  <a:pt x="12" y="20"/>
                  <a:pt x="12" y="18"/>
                </a:cubicBezTo>
                <a:cubicBezTo>
                  <a:pt x="12" y="16"/>
                  <a:pt x="11" y="15"/>
                  <a:pt x="7" y="14"/>
                </a:cubicBezTo>
                <a:cubicBezTo>
                  <a:pt x="3" y="12"/>
                  <a:pt x="1" y="10"/>
                  <a:pt x="1" y="7"/>
                </a:cubicBezTo>
                <a:cubicBezTo>
                  <a:pt x="1" y="3"/>
                  <a:pt x="4" y="0"/>
                  <a:pt x="9" y="0"/>
                </a:cubicBezTo>
                <a:cubicBezTo>
                  <a:pt x="12" y="0"/>
                  <a:pt x="14" y="0"/>
                  <a:pt x="15" y="1"/>
                </a:cubicBezTo>
                <a:cubicBezTo>
                  <a:pt x="14" y="4"/>
                  <a:pt x="14" y="4"/>
                  <a:pt x="14" y="4"/>
                </a:cubicBezTo>
                <a:cubicBezTo>
                  <a:pt x="13" y="4"/>
                  <a:pt x="11" y="3"/>
                  <a:pt x="9" y="3"/>
                </a:cubicBezTo>
                <a:cubicBezTo>
                  <a:pt x="7" y="3"/>
                  <a:pt x="5" y="4"/>
                  <a:pt x="5" y="6"/>
                </a:cubicBezTo>
                <a:cubicBezTo>
                  <a:pt x="5" y="8"/>
                  <a:pt x="7" y="9"/>
                  <a:pt x="10" y="10"/>
                </a:cubicBezTo>
                <a:cubicBezTo>
                  <a:pt x="14" y="12"/>
                  <a:pt x="16" y="14"/>
                  <a:pt x="16" y="18"/>
                </a:cubicBezTo>
                <a:cubicBezTo>
                  <a:pt x="16" y="22"/>
                  <a:pt x="13" y="25"/>
                  <a:pt x="7" y="25"/>
                </a:cubicBezTo>
                <a:cubicBezTo>
                  <a:pt x="4" y="25"/>
                  <a:pt x="2" y="24"/>
                  <a:pt x="0" y="23"/>
                </a:cubicBezTo>
                <a:lnTo>
                  <a:pt x="1" y="20"/>
                </a:lnTo>
                <a:close/>
              </a:path>
            </a:pathLst>
          </a:custGeom>
          <a:solidFill>
            <a:srgbClr val="0071B1"/>
          </a:solidFill>
          <a:ln w="0" cap="flat" cmpd="sng">
            <a:noFill/>
            <a:prstDash/>
          </a:ln>
        </xdr:spPr>
      </xdr:sp>
      <xdr:sp macro="" textlink="">
        <xdr:nvSpPr>
          <xdr:cNvPr id="13" name="Freeform 14">
            <a:extLst>
              <a:ext uri="{FF2B5EF4-FFF2-40B4-BE49-F238E27FC236}">
                <a16:creationId xmlns="" xmlns:a16="http://schemas.microsoft.com/office/drawing/2014/main" id="{00000000-0008-0000-0B00-00000D000000}"/>
              </a:ext>
            </a:extLst>
          </xdr:cNvPr>
          <xdr:cNvSpPr>
            <a:spLocks/>
          </xdr:cNvSpPr>
        </xdr:nvSpPr>
        <xdr:spPr>
          <a:xfrm>
            <a:off x="0" y="0"/>
            <a:ext cx="0" cy="0"/>
          </a:xfrm>
          <a:custGeom>
            <a:avLst/>
            <a:gdLst/>
            <a:ahLst/>
            <a:cxnLst/>
            <a:rect l="0" t="0" r="0" b="0"/>
            <a:pathLst>
              <a:path w="20" h="25">
                <a:moveTo>
                  <a:pt x="20" y="18"/>
                </a:moveTo>
                <a:cubicBezTo>
                  <a:pt x="20" y="20"/>
                  <a:pt x="20" y="22"/>
                  <a:pt x="20" y="24"/>
                </a:cubicBezTo>
                <a:cubicBezTo>
                  <a:pt x="16" y="24"/>
                  <a:pt x="16" y="24"/>
                  <a:pt x="16" y="24"/>
                </a:cubicBezTo>
                <a:cubicBezTo>
                  <a:pt x="16" y="20"/>
                  <a:pt x="16" y="20"/>
                  <a:pt x="16" y="20"/>
                </a:cubicBezTo>
                <a:cubicBezTo>
                  <a:pt x="16" y="20"/>
                  <a:pt x="16" y="20"/>
                  <a:pt x="16" y="20"/>
                </a:cubicBezTo>
                <a:cubicBezTo>
                  <a:pt x="15" y="22"/>
                  <a:pt x="12" y="25"/>
                  <a:pt x="8" y="25"/>
                </a:cubicBezTo>
                <a:cubicBezTo>
                  <a:pt x="4" y="25"/>
                  <a:pt x="0" y="23"/>
                  <a:pt x="0" y="14"/>
                </a:cubicBezTo>
                <a:cubicBezTo>
                  <a:pt x="0" y="0"/>
                  <a:pt x="0" y="0"/>
                  <a:pt x="0" y="0"/>
                </a:cubicBezTo>
                <a:cubicBezTo>
                  <a:pt x="4" y="0"/>
                  <a:pt x="4" y="0"/>
                  <a:pt x="4" y="0"/>
                </a:cubicBezTo>
                <a:cubicBezTo>
                  <a:pt x="4" y="14"/>
                  <a:pt x="4" y="14"/>
                  <a:pt x="4" y="14"/>
                </a:cubicBezTo>
                <a:cubicBezTo>
                  <a:pt x="4" y="18"/>
                  <a:pt x="5" y="21"/>
                  <a:pt x="9" y="21"/>
                </a:cubicBezTo>
                <a:cubicBezTo>
                  <a:pt x="12" y="21"/>
                  <a:pt x="14" y="19"/>
                  <a:pt x="15" y="17"/>
                </a:cubicBezTo>
                <a:cubicBezTo>
                  <a:pt x="15" y="17"/>
                  <a:pt x="16" y="16"/>
                  <a:pt x="16" y="15"/>
                </a:cubicBezTo>
                <a:cubicBezTo>
                  <a:pt x="16" y="0"/>
                  <a:pt x="16" y="0"/>
                  <a:pt x="16" y="0"/>
                </a:cubicBezTo>
                <a:cubicBezTo>
                  <a:pt x="20" y="0"/>
                  <a:pt x="20" y="0"/>
                  <a:pt x="20" y="0"/>
                </a:cubicBezTo>
                <a:lnTo>
                  <a:pt x="20" y="18"/>
                </a:lnTo>
                <a:close/>
              </a:path>
            </a:pathLst>
          </a:custGeom>
          <a:solidFill>
            <a:srgbClr val="0071B1"/>
          </a:solidFill>
          <a:ln w="0" cap="flat" cmpd="sng">
            <a:noFill/>
            <a:prstDash/>
          </a:ln>
        </xdr:spPr>
      </xdr:sp>
      <xdr:sp macro="" textlink="">
        <xdr:nvSpPr>
          <xdr:cNvPr id="14" name="Rectangle 15">
            <a:extLst>
              <a:ext uri="{FF2B5EF4-FFF2-40B4-BE49-F238E27FC236}">
                <a16:creationId xmlns="" xmlns:a16="http://schemas.microsoft.com/office/drawing/2014/main" id="{00000000-0008-0000-0B00-00000E000000}"/>
              </a:ext>
            </a:extLst>
          </xdr:cNvPr>
          <xdr:cNvSpPr>
            <a:spLocks/>
          </xdr:cNvSpPr>
        </xdr:nvSpPr>
        <xdr:spPr>
          <a:xfrm>
            <a:off x="0" y="0"/>
            <a:ext cx="0" cy="0"/>
          </a:xfrm>
          <a:prstGeom prst="rect">
            <a:avLst/>
          </a:prstGeom>
          <a:solidFill>
            <a:srgbClr val="0071B1"/>
          </a:solidFill>
          <a:ln w="0" cap="flat" cmpd="sng">
            <a:noFill/>
            <a:prstDash/>
          </a:ln>
        </xdr:spPr>
      </xdr:sp>
      <xdr:sp macro="" textlink="">
        <xdr:nvSpPr>
          <xdr:cNvPr id="15" name="Freeform 16">
            <a:extLst>
              <a:ext uri="{FF2B5EF4-FFF2-40B4-BE49-F238E27FC236}">
                <a16:creationId xmlns="" xmlns:a16="http://schemas.microsoft.com/office/drawing/2014/main" id="{00000000-0008-0000-0B00-00000F000000}"/>
              </a:ext>
            </a:extLst>
          </xdr:cNvPr>
          <xdr:cNvSpPr>
            <a:spLocks/>
          </xdr:cNvSpPr>
        </xdr:nvSpPr>
        <xdr:spPr>
          <a:xfrm>
            <a:off x="0" y="0"/>
            <a:ext cx="0" cy="0"/>
          </a:xfrm>
          <a:custGeom>
            <a:avLst/>
            <a:gdLst/>
            <a:ahLst/>
            <a:cxnLst/>
            <a:rect l="0" t="0" r="0" b="0"/>
            <a:pathLst>
              <a:path w="15" h="32">
                <a:moveTo>
                  <a:pt x="8" y="0"/>
                </a:moveTo>
                <a:cubicBezTo>
                  <a:pt x="8" y="7"/>
                  <a:pt x="8" y="7"/>
                  <a:pt x="8" y="7"/>
                </a:cubicBezTo>
                <a:cubicBezTo>
                  <a:pt x="15" y="7"/>
                  <a:pt x="15" y="7"/>
                  <a:pt x="15" y="7"/>
                </a:cubicBezTo>
                <a:cubicBezTo>
                  <a:pt x="15" y="11"/>
                  <a:pt x="15" y="11"/>
                  <a:pt x="15" y="11"/>
                </a:cubicBezTo>
                <a:cubicBezTo>
                  <a:pt x="8" y="11"/>
                  <a:pt x="8" y="11"/>
                  <a:pt x="8" y="11"/>
                </a:cubicBezTo>
                <a:cubicBezTo>
                  <a:pt x="8" y="24"/>
                  <a:pt x="8" y="24"/>
                  <a:pt x="8" y="24"/>
                </a:cubicBezTo>
                <a:cubicBezTo>
                  <a:pt x="8" y="27"/>
                  <a:pt x="9" y="28"/>
                  <a:pt x="12" y="28"/>
                </a:cubicBezTo>
                <a:cubicBezTo>
                  <a:pt x="13" y="28"/>
                  <a:pt x="14" y="28"/>
                  <a:pt x="14" y="28"/>
                </a:cubicBezTo>
                <a:cubicBezTo>
                  <a:pt x="14" y="31"/>
                  <a:pt x="14" y="31"/>
                  <a:pt x="14" y="31"/>
                </a:cubicBezTo>
                <a:cubicBezTo>
                  <a:pt x="14" y="32"/>
                  <a:pt x="12" y="32"/>
                  <a:pt x="11" y="32"/>
                </a:cubicBezTo>
                <a:cubicBezTo>
                  <a:pt x="9" y="32"/>
                  <a:pt x="7" y="31"/>
                  <a:pt x="6" y="30"/>
                </a:cubicBezTo>
                <a:cubicBezTo>
                  <a:pt x="5" y="29"/>
                  <a:pt x="4" y="27"/>
                  <a:pt x="4" y="24"/>
                </a:cubicBezTo>
                <a:cubicBezTo>
                  <a:pt x="4" y="11"/>
                  <a:pt x="4" y="11"/>
                  <a:pt x="4" y="11"/>
                </a:cubicBezTo>
                <a:cubicBezTo>
                  <a:pt x="0" y="11"/>
                  <a:pt x="0" y="11"/>
                  <a:pt x="0" y="11"/>
                </a:cubicBezTo>
                <a:cubicBezTo>
                  <a:pt x="0" y="7"/>
                  <a:pt x="0" y="7"/>
                  <a:pt x="0" y="7"/>
                </a:cubicBezTo>
                <a:cubicBezTo>
                  <a:pt x="4" y="7"/>
                  <a:pt x="4" y="7"/>
                  <a:pt x="4" y="7"/>
                </a:cubicBezTo>
                <a:cubicBezTo>
                  <a:pt x="4" y="1"/>
                  <a:pt x="4" y="1"/>
                  <a:pt x="4" y="1"/>
                </a:cubicBezTo>
                <a:lnTo>
                  <a:pt x="8" y="0"/>
                </a:lnTo>
                <a:close/>
              </a:path>
            </a:pathLst>
          </a:custGeom>
          <a:solidFill>
            <a:srgbClr val="0071B1"/>
          </a:solidFill>
          <a:ln w="0" cap="flat" cmpd="sng">
            <a:noFill/>
            <a:prstDash/>
          </a:ln>
        </xdr:spPr>
      </xdr:sp>
      <xdr:sp macro="" textlink="">
        <xdr:nvSpPr>
          <xdr:cNvPr id="16" name="Freeform 17">
            <a:extLst>
              <a:ext uri="{FF2B5EF4-FFF2-40B4-BE49-F238E27FC236}">
                <a16:creationId xmlns="" xmlns:a16="http://schemas.microsoft.com/office/drawing/2014/main" id="{00000000-0008-0000-0B00-000010000000}"/>
              </a:ext>
            </a:extLst>
          </xdr:cNvPr>
          <xdr:cNvSpPr>
            <a:spLocks/>
          </xdr:cNvSpPr>
        </xdr:nvSpPr>
        <xdr:spPr>
          <a:xfrm>
            <a:off x="0" y="0"/>
            <a:ext cx="0" cy="0"/>
          </a:xfrm>
          <a:custGeom>
            <a:avLst/>
            <a:gdLst/>
            <a:ahLst/>
            <a:cxnLst/>
            <a:rect l="0" t="0" r="0" b="0"/>
            <a:pathLst>
              <a:path w="19" h="25">
                <a:moveTo>
                  <a:pt x="15" y="24"/>
                </a:moveTo>
                <a:cubicBezTo>
                  <a:pt x="15" y="21"/>
                  <a:pt x="15" y="21"/>
                  <a:pt x="15" y="21"/>
                </a:cubicBezTo>
                <a:cubicBezTo>
                  <a:pt x="15" y="21"/>
                  <a:pt x="15" y="21"/>
                  <a:pt x="15" y="21"/>
                </a:cubicBezTo>
                <a:cubicBezTo>
                  <a:pt x="13" y="23"/>
                  <a:pt x="11" y="25"/>
                  <a:pt x="7" y="25"/>
                </a:cubicBezTo>
                <a:cubicBezTo>
                  <a:pt x="2" y="25"/>
                  <a:pt x="0" y="21"/>
                  <a:pt x="0" y="18"/>
                </a:cubicBezTo>
                <a:cubicBezTo>
                  <a:pt x="0" y="12"/>
                  <a:pt x="5" y="9"/>
                  <a:pt x="14" y="9"/>
                </a:cubicBezTo>
                <a:cubicBezTo>
                  <a:pt x="14" y="8"/>
                  <a:pt x="14" y="8"/>
                  <a:pt x="14" y="8"/>
                </a:cubicBezTo>
                <a:cubicBezTo>
                  <a:pt x="14" y="6"/>
                  <a:pt x="14" y="3"/>
                  <a:pt x="9" y="3"/>
                </a:cubicBezTo>
                <a:cubicBezTo>
                  <a:pt x="7" y="3"/>
                  <a:pt x="4" y="4"/>
                  <a:pt x="3" y="5"/>
                </a:cubicBezTo>
                <a:cubicBezTo>
                  <a:pt x="2" y="2"/>
                  <a:pt x="2" y="2"/>
                  <a:pt x="2" y="2"/>
                </a:cubicBezTo>
                <a:cubicBezTo>
                  <a:pt x="4" y="0"/>
                  <a:pt x="6" y="0"/>
                  <a:pt x="9" y="0"/>
                </a:cubicBezTo>
                <a:cubicBezTo>
                  <a:pt x="17" y="0"/>
                  <a:pt x="19" y="5"/>
                  <a:pt x="19" y="10"/>
                </a:cubicBezTo>
                <a:cubicBezTo>
                  <a:pt x="19" y="19"/>
                  <a:pt x="19" y="19"/>
                  <a:pt x="19" y="19"/>
                </a:cubicBezTo>
                <a:cubicBezTo>
                  <a:pt x="19" y="21"/>
                  <a:pt x="19" y="23"/>
                  <a:pt x="19" y="24"/>
                </a:cubicBezTo>
                <a:lnTo>
                  <a:pt x="15" y="24"/>
                </a:lnTo>
                <a:moveTo>
                  <a:pt x="14" y="12"/>
                </a:moveTo>
                <a:cubicBezTo>
                  <a:pt x="10" y="12"/>
                  <a:pt x="4" y="13"/>
                  <a:pt x="4" y="17"/>
                </a:cubicBezTo>
                <a:cubicBezTo>
                  <a:pt x="4" y="20"/>
                  <a:pt x="6" y="22"/>
                  <a:pt x="8" y="22"/>
                </a:cubicBezTo>
                <a:cubicBezTo>
                  <a:pt x="11" y="22"/>
                  <a:pt x="13" y="20"/>
                  <a:pt x="14" y="18"/>
                </a:cubicBezTo>
                <a:cubicBezTo>
                  <a:pt x="14" y="17"/>
                  <a:pt x="14" y="17"/>
                  <a:pt x="14" y="16"/>
                </a:cubicBezTo>
                <a:lnTo>
                  <a:pt x="14" y="12"/>
                </a:lnTo>
                <a:close/>
              </a:path>
            </a:pathLst>
          </a:custGeom>
          <a:solidFill>
            <a:srgbClr val="0071B1"/>
          </a:solidFill>
          <a:ln w="0" cap="flat" cmpd="sng">
            <a:noFill/>
            <a:prstDash/>
          </a:ln>
        </xdr:spPr>
      </xdr:sp>
      <xdr:sp macro="" textlink="">
        <xdr:nvSpPr>
          <xdr:cNvPr id="17" name="Freeform 18">
            <a:extLst>
              <a:ext uri="{FF2B5EF4-FFF2-40B4-BE49-F238E27FC236}">
                <a16:creationId xmlns="" xmlns:a16="http://schemas.microsoft.com/office/drawing/2014/main" id="{00000000-0008-0000-0B00-000011000000}"/>
              </a:ext>
            </a:extLst>
          </xdr:cNvPr>
          <xdr:cNvSpPr>
            <a:spLocks/>
          </xdr:cNvSpPr>
        </xdr:nvSpPr>
        <xdr:spPr>
          <a:xfrm>
            <a:off x="0" y="0"/>
            <a:ext cx="0" cy="0"/>
          </a:xfrm>
          <a:custGeom>
            <a:avLst/>
            <a:gdLst/>
            <a:ahLst/>
            <a:cxnLst/>
            <a:rect l="0" t="0" r="0" b="0"/>
            <a:pathLst>
              <a:path w="20" h="24">
                <a:moveTo>
                  <a:pt x="0" y="7"/>
                </a:moveTo>
                <a:cubicBezTo>
                  <a:pt x="0" y="4"/>
                  <a:pt x="0" y="2"/>
                  <a:pt x="0" y="0"/>
                </a:cubicBezTo>
                <a:cubicBezTo>
                  <a:pt x="3" y="0"/>
                  <a:pt x="3" y="0"/>
                  <a:pt x="3" y="0"/>
                </a:cubicBezTo>
                <a:cubicBezTo>
                  <a:pt x="4" y="4"/>
                  <a:pt x="4" y="4"/>
                  <a:pt x="4" y="4"/>
                </a:cubicBezTo>
                <a:cubicBezTo>
                  <a:pt x="4" y="4"/>
                  <a:pt x="4" y="4"/>
                  <a:pt x="4" y="4"/>
                </a:cubicBezTo>
                <a:cubicBezTo>
                  <a:pt x="5" y="2"/>
                  <a:pt x="8" y="0"/>
                  <a:pt x="12" y="0"/>
                </a:cubicBezTo>
                <a:cubicBezTo>
                  <a:pt x="15" y="0"/>
                  <a:pt x="20" y="2"/>
                  <a:pt x="20" y="10"/>
                </a:cubicBezTo>
                <a:cubicBezTo>
                  <a:pt x="20" y="24"/>
                  <a:pt x="20" y="24"/>
                  <a:pt x="20" y="24"/>
                </a:cubicBezTo>
                <a:cubicBezTo>
                  <a:pt x="16" y="24"/>
                  <a:pt x="16" y="24"/>
                  <a:pt x="16" y="24"/>
                </a:cubicBezTo>
                <a:cubicBezTo>
                  <a:pt x="16" y="10"/>
                  <a:pt x="16" y="10"/>
                  <a:pt x="16" y="10"/>
                </a:cubicBezTo>
                <a:cubicBezTo>
                  <a:pt x="16" y="7"/>
                  <a:pt x="15" y="3"/>
                  <a:pt x="10" y="3"/>
                </a:cubicBezTo>
                <a:cubicBezTo>
                  <a:pt x="7" y="3"/>
                  <a:pt x="5" y="5"/>
                  <a:pt x="4" y="8"/>
                </a:cubicBezTo>
                <a:cubicBezTo>
                  <a:pt x="4" y="8"/>
                  <a:pt x="4" y="9"/>
                  <a:pt x="4" y="10"/>
                </a:cubicBezTo>
                <a:cubicBezTo>
                  <a:pt x="4" y="24"/>
                  <a:pt x="4" y="24"/>
                  <a:pt x="4" y="24"/>
                </a:cubicBezTo>
                <a:cubicBezTo>
                  <a:pt x="0" y="24"/>
                  <a:pt x="0" y="24"/>
                  <a:pt x="0" y="24"/>
                </a:cubicBezTo>
                <a:lnTo>
                  <a:pt x="0" y="7"/>
                </a:lnTo>
                <a:close/>
              </a:path>
            </a:pathLst>
          </a:custGeom>
          <a:solidFill>
            <a:srgbClr val="0071B1"/>
          </a:solidFill>
          <a:ln w="0" cap="flat" cmpd="sng">
            <a:noFill/>
            <a:prstDash/>
          </a:ln>
        </xdr:spPr>
      </xdr:sp>
      <xdr:sp macro="" textlink="">
        <xdr:nvSpPr>
          <xdr:cNvPr id="18" name="Freeform 19">
            <a:extLst>
              <a:ext uri="{FF2B5EF4-FFF2-40B4-BE49-F238E27FC236}">
                <a16:creationId xmlns="" xmlns:a16="http://schemas.microsoft.com/office/drawing/2014/main" id="{00000000-0008-0000-0B00-000012000000}"/>
              </a:ext>
            </a:extLst>
          </xdr:cNvPr>
          <xdr:cNvSpPr>
            <a:spLocks/>
          </xdr:cNvSpPr>
        </xdr:nvSpPr>
        <xdr:spPr>
          <a:xfrm>
            <a:off x="0" y="0"/>
            <a:ext cx="0" cy="0"/>
          </a:xfrm>
          <a:custGeom>
            <a:avLst/>
            <a:gdLst/>
            <a:ahLst/>
            <a:cxnLst/>
            <a:rect l="0" t="0" r="0" b="0"/>
            <a:pathLst>
              <a:path w="14" h="32">
                <a:moveTo>
                  <a:pt x="8" y="0"/>
                </a:moveTo>
                <a:cubicBezTo>
                  <a:pt x="8" y="7"/>
                  <a:pt x="8" y="7"/>
                  <a:pt x="8" y="7"/>
                </a:cubicBezTo>
                <a:cubicBezTo>
                  <a:pt x="14" y="7"/>
                  <a:pt x="14" y="7"/>
                  <a:pt x="14" y="7"/>
                </a:cubicBezTo>
                <a:cubicBezTo>
                  <a:pt x="14" y="11"/>
                  <a:pt x="14" y="11"/>
                  <a:pt x="14" y="11"/>
                </a:cubicBezTo>
                <a:cubicBezTo>
                  <a:pt x="8" y="11"/>
                  <a:pt x="8" y="11"/>
                  <a:pt x="8" y="11"/>
                </a:cubicBezTo>
                <a:cubicBezTo>
                  <a:pt x="8" y="24"/>
                  <a:pt x="8" y="24"/>
                  <a:pt x="8" y="24"/>
                </a:cubicBezTo>
                <a:cubicBezTo>
                  <a:pt x="8" y="27"/>
                  <a:pt x="8" y="28"/>
                  <a:pt x="11" y="28"/>
                </a:cubicBezTo>
                <a:cubicBezTo>
                  <a:pt x="12" y="28"/>
                  <a:pt x="13" y="28"/>
                  <a:pt x="13" y="28"/>
                </a:cubicBezTo>
                <a:cubicBezTo>
                  <a:pt x="14" y="31"/>
                  <a:pt x="14" y="31"/>
                  <a:pt x="14" y="31"/>
                </a:cubicBezTo>
                <a:cubicBezTo>
                  <a:pt x="13" y="32"/>
                  <a:pt x="11" y="32"/>
                  <a:pt x="10" y="32"/>
                </a:cubicBezTo>
                <a:cubicBezTo>
                  <a:pt x="8" y="32"/>
                  <a:pt x="6" y="31"/>
                  <a:pt x="5" y="30"/>
                </a:cubicBezTo>
                <a:cubicBezTo>
                  <a:pt x="4" y="29"/>
                  <a:pt x="3" y="27"/>
                  <a:pt x="3" y="24"/>
                </a:cubicBezTo>
                <a:cubicBezTo>
                  <a:pt x="3" y="11"/>
                  <a:pt x="3" y="11"/>
                  <a:pt x="3" y="11"/>
                </a:cubicBezTo>
                <a:cubicBezTo>
                  <a:pt x="0" y="11"/>
                  <a:pt x="0" y="11"/>
                  <a:pt x="0" y="11"/>
                </a:cubicBezTo>
                <a:cubicBezTo>
                  <a:pt x="0" y="7"/>
                  <a:pt x="0" y="7"/>
                  <a:pt x="0" y="7"/>
                </a:cubicBezTo>
                <a:cubicBezTo>
                  <a:pt x="3" y="7"/>
                  <a:pt x="3" y="7"/>
                  <a:pt x="3" y="7"/>
                </a:cubicBezTo>
                <a:cubicBezTo>
                  <a:pt x="3" y="1"/>
                  <a:pt x="3" y="1"/>
                  <a:pt x="3" y="1"/>
                </a:cubicBezTo>
                <a:lnTo>
                  <a:pt x="8" y="0"/>
                </a:lnTo>
                <a:close/>
              </a:path>
            </a:pathLst>
          </a:custGeom>
          <a:solidFill>
            <a:srgbClr val="0071B1"/>
          </a:solidFill>
          <a:ln w="0" cap="flat" cmpd="sng">
            <a:noFill/>
            <a:prstDash/>
          </a:ln>
        </xdr:spPr>
      </xdr:sp>
      <xdr:sp macro="" textlink="">
        <xdr:nvSpPr>
          <xdr:cNvPr id="19" name="Freeform 20">
            <a:extLst>
              <a:ext uri="{FF2B5EF4-FFF2-40B4-BE49-F238E27FC236}">
                <a16:creationId xmlns="" xmlns:a16="http://schemas.microsoft.com/office/drawing/2014/main" id="{00000000-0008-0000-0B00-000013000000}"/>
              </a:ext>
            </a:extLst>
          </xdr:cNvPr>
          <xdr:cNvSpPr>
            <a:spLocks/>
          </xdr:cNvSpPr>
        </xdr:nvSpPr>
        <xdr:spPr>
          <a:xfrm>
            <a:off x="0" y="0"/>
            <a:ext cx="0" cy="0"/>
          </a:xfrm>
          <a:custGeom>
            <a:avLst/>
            <a:gdLst/>
            <a:ahLst/>
            <a:cxnLst/>
            <a:rect l="0" t="0" r="0" b="0"/>
            <a:pathLst>
              <a:path w="16" h="25">
                <a:moveTo>
                  <a:pt x="1" y="20"/>
                </a:moveTo>
                <a:cubicBezTo>
                  <a:pt x="3" y="21"/>
                  <a:pt x="5" y="22"/>
                  <a:pt x="7" y="22"/>
                </a:cubicBezTo>
                <a:cubicBezTo>
                  <a:pt x="10" y="22"/>
                  <a:pt x="12" y="20"/>
                  <a:pt x="12" y="18"/>
                </a:cubicBezTo>
                <a:cubicBezTo>
                  <a:pt x="12" y="16"/>
                  <a:pt x="11" y="15"/>
                  <a:pt x="7" y="14"/>
                </a:cubicBezTo>
                <a:cubicBezTo>
                  <a:pt x="3" y="12"/>
                  <a:pt x="1" y="10"/>
                  <a:pt x="1" y="7"/>
                </a:cubicBezTo>
                <a:cubicBezTo>
                  <a:pt x="1" y="3"/>
                  <a:pt x="4" y="0"/>
                  <a:pt x="9" y="0"/>
                </a:cubicBezTo>
                <a:cubicBezTo>
                  <a:pt x="12" y="0"/>
                  <a:pt x="14" y="0"/>
                  <a:pt x="15" y="1"/>
                </a:cubicBezTo>
                <a:cubicBezTo>
                  <a:pt x="14" y="4"/>
                  <a:pt x="14" y="4"/>
                  <a:pt x="14" y="4"/>
                </a:cubicBezTo>
                <a:cubicBezTo>
                  <a:pt x="13" y="4"/>
                  <a:pt x="11" y="3"/>
                  <a:pt x="9" y="3"/>
                </a:cubicBezTo>
                <a:cubicBezTo>
                  <a:pt x="7" y="3"/>
                  <a:pt x="5" y="4"/>
                  <a:pt x="5" y="6"/>
                </a:cubicBezTo>
                <a:cubicBezTo>
                  <a:pt x="5" y="8"/>
                  <a:pt x="7" y="9"/>
                  <a:pt x="10" y="10"/>
                </a:cubicBezTo>
                <a:cubicBezTo>
                  <a:pt x="14" y="12"/>
                  <a:pt x="16" y="14"/>
                  <a:pt x="16" y="18"/>
                </a:cubicBezTo>
                <a:cubicBezTo>
                  <a:pt x="16" y="22"/>
                  <a:pt x="13" y="25"/>
                  <a:pt x="7" y="25"/>
                </a:cubicBezTo>
                <a:cubicBezTo>
                  <a:pt x="4" y="25"/>
                  <a:pt x="2" y="24"/>
                  <a:pt x="0" y="23"/>
                </a:cubicBezTo>
                <a:lnTo>
                  <a:pt x="1" y="20"/>
                </a:lnTo>
                <a:close/>
              </a:path>
            </a:pathLst>
          </a:custGeom>
          <a:solidFill>
            <a:srgbClr val="0071B1"/>
          </a:solidFill>
          <a:ln w="0" cap="flat" cmpd="sng">
            <a:noFill/>
            <a:prstDash/>
          </a:ln>
        </xdr:spPr>
      </xdr:sp>
      <xdr:sp macro="" textlink="">
        <xdr:nvSpPr>
          <xdr:cNvPr id="20" name="Freeform 21">
            <a:extLst>
              <a:ext uri="{FF2B5EF4-FFF2-40B4-BE49-F238E27FC236}">
                <a16:creationId xmlns="" xmlns:a16="http://schemas.microsoft.com/office/drawing/2014/main" id="{00000000-0008-0000-0B00-000014000000}"/>
              </a:ext>
            </a:extLst>
          </xdr:cNvPr>
          <xdr:cNvSpPr>
            <a:spLocks/>
          </xdr:cNvSpPr>
        </xdr:nvSpPr>
        <xdr:spPr>
          <a:xfrm>
            <a:off x="0" y="0"/>
            <a:ext cx="0" cy="0"/>
          </a:xfrm>
          <a:custGeom>
            <a:avLst/>
            <a:gdLst/>
            <a:ahLst/>
            <a:cxnLst/>
            <a:rect l="0" t="0" r="0" b="0"/>
            <a:pathLst>
              <a:path w="21" h="34">
                <a:moveTo>
                  <a:pt x="0" y="1"/>
                </a:moveTo>
                <a:cubicBezTo>
                  <a:pt x="3" y="1"/>
                  <a:pt x="5" y="0"/>
                  <a:pt x="9" y="0"/>
                </a:cubicBezTo>
                <a:cubicBezTo>
                  <a:pt x="13" y="0"/>
                  <a:pt x="16" y="1"/>
                  <a:pt x="18" y="3"/>
                </a:cubicBezTo>
                <a:cubicBezTo>
                  <a:pt x="20" y="5"/>
                  <a:pt x="21" y="7"/>
                  <a:pt x="21" y="10"/>
                </a:cubicBezTo>
                <a:cubicBezTo>
                  <a:pt x="21" y="13"/>
                  <a:pt x="20" y="16"/>
                  <a:pt x="19" y="17"/>
                </a:cubicBezTo>
                <a:cubicBezTo>
                  <a:pt x="16" y="20"/>
                  <a:pt x="13" y="21"/>
                  <a:pt x="8" y="21"/>
                </a:cubicBezTo>
                <a:cubicBezTo>
                  <a:pt x="7" y="21"/>
                  <a:pt x="6" y="21"/>
                  <a:pt x="5" y="21"/>
                </a:cubicBezTo>
                <a:cubicBezTo>
                  <a:pt x="5" y="34"/>
                  <a:pt x="5" y="34"/>
                  <a:pt x="5" y="34"/>
                </a:cubicBezTo>
                <a:cubicBezTo>
                  <a:pt x="0" y="34"/>
                  <a:pt x="0" y="34"/>
                  <a:pt x="0" y="34"/>
                </a:cubicBezTo>
                <a:lnTo>
                  <a:pt x="0" y="1"/>
                </a:lnTo>
                <a:moveTo>
                  <a:pt x="5" y="17"/>
                </a:moveTo>
                <a:cubicBezTo>
                  <a:pt x="6" y="18"/>
                  <a:pt x="7" y="18"/>
                  <a:pt x="8" y="18"/>
                </a:cubicBezTo>
                <a:cubicBezTo>
                  <a:pt x="14" y="18"/>
                  <a:pt x="17" y="15"/>
                  <a:pt x="17" y="10"/>
                </a:cubicBezTo>
                <a:cubicBezTo>
                  <a:pt x="17" y="6"/>
                  <a:pt x="14" y="4"/>
                  <a:pt x="9" y="4"/>
                </a:cubicBezTo>
                <a:cubicBezTo>
                  <a:pt x="7" y="4"/>
                  <a:pt x="6" y="4"/>
                  <a:pt x="5" y="4"/>
                </a:cubicBezTo>
                <a:lnTo>
                  <a:pt x="5" y="17"/>
                </a:lnTo>
                <a:close/>
              </a:path>
            </a:pathLst>
          </a:custGeom>
          <a:solidFill>
            <a:srgbClr val="0071B1"/>
          </a:solidFill>
          <a:ln w="0" cap="flat" cmpd="sng">
            <a:noFill/>
            <a:prstDash/>
          </a:ln>
        </xdr:spPr>
      </xdr:sp>
      <xdr:sp macro="" textlink="">
        <xdr:nvSpPr>
          <xdr:cNvPr id="21" name="Freeform 22">
            <a:extLst>
              <a:ext uri="{FF2B5EF4-FFF2-40B4-BE49-F238E27FC236}">
                <a16:creationId xmlns="" xmlns:a16="http://schemas.microsoft.com/office/drawing/2014/main" id="{00000000-0008-0000-0B00-000015000000}"/>
              </a:ext>
            </a:extLst>
          </xdr:cNvPr>
          <xdr:cNvSpPr>
            <a:spLocks/>
          </xdr:cNvSpPr>
        </xdr:nvSpPr>
        <xdr:spPr>
          <a:xfrm>
            <a:off x="0" y="0"/>
            <a:ext cx="0" cy="0"/>
          </a:xfrm>
          <a:custGeom>
            <a:avLst/>
            <a:gdLst/>
            <a:ahLst/>
            <a:cxnLst/>
            <a:rect l="0" t="0" r="0" b="0"/>
            <a:pathLst>
              <a:path w="23" h="24">
                <a:moveTo>
                  <a:pt x="5" y="0"/>
                </a:moveTo>
                <a:cubicBezTo>
                  <a:pt x="9" y="14"/>
                  <a:pt x="9" y="14"/>
                  <a:pt x="9" y="14"/>
                </a:cubicBezTo>
                <a:cubicBezTo>
                  <a:pt x="10" y="16"/>
                  <a:pt x="11" y="18"/>
                  <a:pt x="11" y="20"/>
                </a:cubicBezTo>
                <a:cubicBezTo>
                  <a:pt x="12" y="20"/>
                  <a:pt x="12" y="20"/>
                  <a:pt x="12" y="20"/>
                </a:cubicBezTo>
                <a:cubicBezTo>
                  <a:pt x="12" y="18"/>
                  <a:pt x="13" y="16"/>
                  <a:pt x="14" y="14"/>
                </a:cubicBezTo>
                <a:cubicBezTo>
                  <a:pt x="18" y="0"/>
                  <a:pt x="18" y="0"/>
                  <a:pt x="18" y="0"/>
                </a:cubicBezTo>
                <a:cubicBezTo>
                  <a:pt x="23" y="0"/>
                  <a:pt x="23" y="0"/>
                  <a:pt x="23" y="0"/>
                </a:cubicBezTo>
                <a:cubicBezTo>
                  <a:pt x="13" y="24"/>
                  <a:pt x="13" y="24"/>
                  <a:pt x="13" y="24"/>
                </a:cubicBezTo>
                <a:cubicBezTo>
                  <a:pt x="9" y="24"/>
                  <a:pt x="9" y="24"/>
                  <a:pt x="9" y="24"/>
                </a:cubicBezTo>
                <a:cubicBezTo>
                  <a:pt x="0" y="0"/>
                  <a:pt x="0" y="0"/>
                  <a:pt x="0" y="0"/>
                </a:cubicBezTo>
                <a:lnTo>
                  <a:pt x="5" y="0"/>
                </a:lnTo>
                <a:close/>
              </a:path>
            </a:pathLst>
          </a:custGeom>
          <a:solidFill>
            <a:srgbClr val="0071B1"/>
          </a:solidFill>
          <a:ln w="0" cap="flat" cmpd="sng">
            <a:noFill/>
            <a:prstDash/>
          </a:ln>
        </xdr:spPr>
      </xdr:sp>
      <xdr:sp macro="" textlink="">
        <xdr:nvSpPr>
          <xdr:cNvPr id="22" name="Freeform 23">
            <a:extLst>
              <a:ext uri="{FF2B5EF4-FFF2-40B4-BE49-F238E27FC236}">
                <a16:creationId xmlns="" xmlns:a16="http://schemas.microsoft.com/office/drawing/2014/main" id="{00000000-0008-0000-0B00-000016000000}"/>
              </a:ext>
            </a:extLst>
          </xdr:cNvPr>
          <xdr:cNvSpPr>
            <a:spLocks/>
          </xdr:cNvSpPr>
        </xdr:nvSpPr>
        <xdr:spPr>
          <a:xfrm>
            <a:off x="0" y="0"/>
            <a:ext cx="0" cy="0"/>
          </a:xfrm>
          <a:custGeom>
            <a:avLst/>
            <a:gdLst/>
            <a:ahLst/>
            <a:cxnLst/>
            <a:rect l="0" t="0" r="0" b="0"/>
            <a:pathLst>
              <a:path w="15" h="32">
                <a:moveTo>
                  <a:pt x="8" y="0"/>
                </a:moveTo>
                <a:cubicBezTo>
                  <a:pt x="8" y="7"/>
                  <a:pt x="8" y="7"/>
                  <a:pt x="8" y="7"/>
                </a:cubicBezTo>
                <a:cubicBezTo>
                  <a:pt x="15" y="7"/>
                  <a:pt x="15" y="7"/>
                  <a:pt x="15" y="7"/>
                </a:cubicBezTo>
                <a:cubicBezTo>
                  <a:pt x="15" y="11"/>
                  <a:pt x="15" y="11"/>
                  <a:pt x="15" y="11"/>
                </a:cubicBezTo>
                <a:cubicBezTo>
                  <a:pt x="8" y="11"/>
                  <a:pt x="8" y="11"/>
                  <a:pt x="8" y="11"/>
                </a:cubicBezTo>
                <a:cubicBezTo>
                  <a:pt x="8" y="24"/>
                  <a:pt x="8" y="24"/>
                  <a:pt x="8" y="24"/>
                </a:cubicBezTo>
                <a:cubicBezTo>
                  <a:pt x="8" y="27"/>
                  <a:pt x="9" y="28"/>
                  <a:pt x="12" y="28"/>
                </a:cubicBezTo>
                <a:cubicBezTo>
                  <a:pt x="13" y="28"/>
                  <a:pt x="14" y="28"/>
                  <a:pt x="14" y="28"/>
                </a:cubicBezTo>
                <a:cubicBezTo>
                  <a:pt x="14" y="31"/>
                  <a:pt x="14" y="31"/>
                  <a:pt x="14" y="31"/>
                </a:cubicBezTo>
                <a:cubicBezTo>
                  <a:pt x="14" y="32"/>
                  <a:pt x="12" y="32"/>
                  <a:pt x="11" y="32"/>
                </a:cubicBezTo>
                <a:cubicBezTo>
                  <a:pt x="8" y="32"/>
                  <a:pt x="7" y="31"/>
                  <a:pt x="6" y="30"/>
                </a:cubicBezTo>
                <a:cubicBezTo>
                  <a:pt x="5" y="29"/>
                  <a:pt x="4" y="27"/>
                  <a:pt x="4" y="24"/>
                </a:cubicBezTo>
                <a:cubicBezTo>
                  <a:pt x="4" y="11"/>
                  <a:pt x="4" y="11"/>
                  <a:pt x="4" y="11"/>
                </a:cubicBezTo>
                <a:cubicBezTo>
                  <a:pt x="0" y="11"/>
                  <a:pt x="0" y="11"/>
                  <a:pt x="0" y="11"/>
                </a:cubicBezTo>
                <a:cubicBezTo>
                  <a:pt x="0" y="7"/>
                  <a:pt x="0" y="7"/>
                  <a:pt x="0" y="7"/>
                </a:cubicBezTo>
                <a:cubicBezTo>
                  <a:pt x="4" y="7"/>
                  <a:pt x="4" y="7"/>
                  <a:pt x="4" y="7"/>
                </a:cubicBezTo>
                <a:cubicBezTo>
                  <a:pt x="4" y="1"/>
                  <a:pt x="4" y="1"/>
                  <a:pt x="4" y="1"/>
                </a:cubicBezTo>
                <a:lnTo>
                  <a:pt x="8" y="0"/>
                </a:lnTo>
                <a:close/>
              </a:path>
            </a:pathLst>
          </a:custGeom>
          <a:solidFill>
            <a:srgbClr val="0071B1"/>
          </a:solidFill>
          <a:ln w="0" cap="flat" cmpd="sng">
            <a:noFill/>
            <a:prstDash/>
          </a:ln>
        </xdr:spPr>
      </xdr:sp>
      <xdr:sp macro="" textlink="">
        <xdr:nvSpPr>
          <xdr:cNvPr id="23" name="Oval 24">
            <a:extLst>
              <a:ext uri="{FF2B5EF4-FFF2-40B4-BE49-F238E27FC236}">
                <a16:creationId xmlns="" xmlns:a16="http://schemas.microsoft.com/office/drawing/2014/main" id="{00000000-0008-0000-0B00-000017000000}"/>
              </a:ext>
            </a:extLst>
          </xdr:cNvPr>
          <xdr:cNvSpPr>
            <a:spLocks/>
          </xdr:cNvSpPr>
        </xdr:nvSpPr>
        <xdr:spPr>
          <a:xfrm>
            <a:off x="0" y="0"/>
            <a:ext cx="0" cy="0"/>
          </a:xfrm>
          <a:prstGeom prst="ellipse">
            <a:avLst/>
          </a:prstGeom>
          <a:solidFill>
            <a:srgbClr val="0071B1"/>
          </a:solidFill>
          <a:ln w="0" cap="flat" cmpd="sng">
            <a:noFill/>
            <a:prstDash/>
          </a:ln>
        </xdr:spPr>
      </xdr:sp>
      <xdr:sp macro="" textlink="">
        <xdr:nvSpPr>
          <xdr:cNvPr id="24" name="Freeform 25">
            <a:extLst>
              <a:ext uri="{FF2B5EF4-FFF2-40B4-BE49-F238E27FC236}">
                <a16:creationId xmlns="" xmlns:a16="http://schemas.microsoft.com/office/drawing/2014/main" id="{00000000-0008-0000-0B00-000018000000}"/>
              </a:ext>
            </a:extLst>
          </xdr:cNvPr>
          <xdr:cNvSpPr>
            <a:spLocks/>
          </xdr:cNvSpPr>
        </xdr:nvSpPr>
        <xdr:spPr>
          <a:xfrm>
            <a:off x="0" y="0"/>
            <a:ext cx="0" cy="0"/>
          </a:xfrm>
          <a:custGeom>
            <a:avLst/>
            <a:gdLst/>
            <a:ahLst/>
            <a:cxnLst/>
            <a:rect l="0" t="0" r="0" b="0"/>
            <a:pathLst>
              <a:path w="42" h="79">
                <a:moveTo>
                  <a:pt x="0" y="0"/>
                </a:moveTo>
                <a:lnTo>
                  <a:pt x="9" y="0"/>
                </a:lnTo>
                <a:lnTo>
                  <a:pt x="9" y="72"/>
                </a:lnTo>
                <a:lnTo>
                  <a:pt x="42" y="72"/>
                </a:lnTo>
                <a:lnTo>
                  <a:pt x="42" y="79"/>
                </a:lnTo>
                <a:lnTo>
                  <a:pt x="0" y="79"/>
                </a:lnTo>
                <a:lnTo>
                  <a:pt x="0" y="0"/>
                </a:lnTo>
                <a:close/>
              </a:path>
            </a:pathLst>
          </a:custGeom>
          <a:solidFill>
            <a:srgbClr val="0071B1"/>
          </a:solidFill>
          <a:ln w="0" cap="flat" cmpd="sng">
            <a:noFill/>
            <a:prstDash/>
          </a:ln>
        </xdr:spPr>
      </xdr:sp>
      <xdr:sp macro="" textlink="">
        <xdr:nvSpPr>
          <xdr:cNvPr id="25" name="Freeform 26">
            <a:extLst>
              <a:ext uri="{FF2B5EF4-FFF2-40B4-BE49-F238E27FC236}">
                <a16:creationId xmlns="" xmlns:a16="http://schemas.microsoft.com/office/drawing/2014/main" id="{00000000-0008-0000-0B00-000019000000}"/>
              </a:ext>
            </a:extLst>
          </xdr:cNvPr>
          <xdr:cNvSpPr>
            <a:spLocks/>
          </xdr:cNvSpPr>
        </xdr:nvSpPr>
        <xdr:spPr>
          <a:xfrm>
            <a:off x="0" y="0"/>
            <a:ext cx="0" cy="0"/>
          </a:xfrm>
          <a:custGeom>
            <a:avLst/>
            <a:gdLst/>
            <a:ahLst/>
            <a:cxnLst/>
            <a:rect l="0" t="0" r="0" b="0"/>
            <a:pathLst>
              <a:path w="15" h="32">
                <a:moveTo>
                  <a:pt x="8" y="0"/>
                </a:moveTo>
                <a:cubicBezTo>
                  <a:pt x="8" y="7"/>
                  <a:pt x="8" y="7"/>
                  <a:pt x="8" y="7"/>
                </a:cubicBezTo>
                <a:cubicBezTo>
                  <a:pt x="15" y="7"/>
                  <a:pt x="15" y="7"/>
                  <a:pt x="15" y="7"/>
                </a:cubicBezTo>
                <a:cubicBezTo>
                  <a:pt x="15" y="11"/>
                  <a:pt x="15" y="11"/>
                  <a:pt x="15" y="11"/>
                </a:cubicBezTo>
                <a:cubicBezTo>
                  <a:pt x="8" y="11"/>
                  <a:pt x="8" y="11"/>
                  <a:pt x="8" y="11"/>
                </a:cubicBezTo>
                <a:cubicBezTo>
                  <a:pt x="8" y="24"/>
                  <a:pt x="8" y="24"/>
                  <a:pt x="8" y="24"/>
                </a:cubicBezTo>
                <a:cubicBezTo>
                  <a:pt x="8" y="27"/>
                  <a:pt x="9" y="28"/>
                  <a:pt x="12" y="28"/>
                </a:cubicBezTo>
                <a:cubicBezTo>
                  <a:pt x="13" y="28"/>
                  <a:pt x="14" y="28"/>
                  <a:pt x="14" y="28"/>
                </a:cubicBezTo>
                <a:cubicBezTo>
                  <a:pt x="14" y="31"/>
                  <a:pt x="14" y="31"/>
                  <a:pt x="14" y="31"/>
                </a:cubicBezTo>
                <a:cubicBezTo>
                  <a:pt x="13" y="32"/>
                  <a:pt x="12" y="32"/>
                  <a:pt x="10" y="32"/>
                </a:cubicBezTo>
                <a:cubicBezTo>
                  <a:pt x="8" y="32"/>
                  <a:pt x="7" y="31"/>
                  <a:pt x="6" y="30"/>
                </a:cubicBezTo>
                <a:cubicBezTo>
                  <a:pt x="4" y="29"/>
                  <a:pt x="4" y="27"/>
                  <a:pt x="4" y="24"/>
                </a:cubicBezTo>
                <a:cubicBezTo>
                  <a:pt x="4" y="11"/>
                  <a:pt x="4" y="11"/>
                  <a:pt x="4" y="11"/>
                </a:cubicBezTo>
                <a:cubicBezTo>
                  <a:pt x="0" y="11"/>
                  <a:pt x="0" y="11"/>
                  <a:pt x="0" y="11"/>
                </a:cubicBezTo>
                <a:cubicBezTo>
                  <a:pt x="0" y="7"/>
                  <a:pt x="0" y="7"/>
                  <a:pt x="0" y="7"/>
                </a:cubicBezTo>
                <a:cubicBezTo>
                  <a:pt x="4" y="7"/>
                  <a:pt x="4" y="7"/>
                  <a:pt x="4" y="7"/>
                </a:cubicBezTo>
                <a:cubicBezTo>
                  <a:pt x="4" y="1"/>
                  <a:pt x="4" y="1"/>
                  <a:pt x="4" y="1"/>
                </a:cubicBezTo>
                <a:lnTo>
                  <a:pt x="8" y="0"/>
                </a:lnTo>
                <a:close/>
              </a:path>
            </a:pathLst>
          </a:custGeom>
          <a:solidFill>
            <a:srgbClr val="0071B1"/>
          </a:solidFill>
          <a:ln w="0" cap="flat" cmpd="sng">
            <a:noFill/>
            <a:prstDash/>
          </a:ln>
        </xdr:spPr>
      </xdr:sp>
      <xdr:sp macro="" textlink="">
        <xdr:nvSpPr>
          <xdr:cNvPr id="26" name="Freeform 27">
            <a:extLst>
              <a:ext uri="{FF2B5EF4-FFF2-40B4-BE49-F238E27FC236}">
                <a16:creationId xmlns="" xmlns:a16="http://schemas.microsoft.com/office/drawing/2014/main" id="{00000000-0008-0000-0B00-00001A000000}"/>
              </a:ext>
            </a:extLst>
          </xdr:cNvPr>
          <xdr:cNvSpPr>
            <a:spLocks/>
          </xdr:cNvSpPr>
        </xdr:nvSpPr>
        <xdr:spPr>
          <a:xfrm>
            <a:off x="0" y="0"/>
            <a:ext cx="0" cy="0"/>
          </a:xfrm>
          <a:custGeom>
            <a:avLst/>
            <a:gdLst/>
            <a:ahLst/>
            <a:cxnLst/>
            <a:rect l="0" t="0" r="0" b="0"/>
            <a:pathLst>
              <a:path w="23" h="36">
                <a:moveTo>
                  <a:pt x="23" y="0"/>
                </a:moveTo>
                <a:cubicBezTo>
                  <a:pt x="23" y="29"/>
                  <a:pt x="23" y="29"/>
                  <a:pt x="23" y="29"/>
                </a:cubicBezTo>
                <a:cubicBezTo>
                  <a:pt x="23" y="31"/>
                  <a:pt x="23" y="34"/>
                  <a:pt x="23" y="35"/>
                </a:cubicBezTo>
                <a:cubicBezTo>
                  <a:pt x="19" y="35"/>
                  <a:pt x="19" y="35"/>
                  <a:pt x="19" y="35"/>
                </a:cubicBezTo>
                <a:cubicBezTo>
                  <a:pt x="19" y="31"/>
                  <a:pt x="19" y="31"/>
                  <a:pt x="19" y="31"/>
                </a:cubicBezTo>
                <a:cubicBezTo>
                  <a:pt x="19" y="31"/>
                  <a:pt x="19" y="31"/>
                  <a:pt x="19" y="31"/>
                </a:cubicBezTo>
                <a:cubicBezTo>
                  <a:pt x="18" y="34"/>
                  <a:pt x="15" y="36"/>
                  <a:pt x="11" y="36"/>
                </a:cubicBezTo>
                <a:cubicBezTo>
                  <a:pt x="5" y="36"/>
                  <a:pt x="1" y="31"/>
                  <a:pt x="1" y="24"/>
                </a:cubicBezTo>
                <a:cubicBezTo>
                  <a:pt x="0" y="16"/>
                  <a:pt x="5" y="11"/>
                  <a:pt x="11" y="11"/>
                </a:cubicBezTo>
                <a:cubicBezTo>
                  <a:pt x="15" y="11"/>
                  <a:pt x="18" y="12"/>
                  <a:pt x="19" y="14"/>
                </a:cubicBezTo>
                <a:cubicBezTo>
                  <a:pt x="19" y="14"/>
                  <a:pt x="19" y="14"/>
                  <a:pt x="19" y="14"/>
                </a:cubicBezTo>
                <a:cubicBezTo>
                  <a:pt x="19" y="0"/>
                  <a:pt x="19" y="0"/>
                  <a:pt x="19" y="0"/>
                </a:cubicBezTo>
                <a:lnTo>
                  <a:pt x="23" y="0"/>
                </a:lnTo>
                <a:moveTo>
                  <a:pt x="19" y="21"/>
                </a:moveTo>
                <a:cubicBezTo>
                  <a:pt x="19" y="20"/>
                  <a:pt x="19" y="20"/>
                  <a:pt x="19" y="19"/>
                </a:cubicBezTo>
                <a:cubicBezTo>
                  <a:pt x="18" y="16"/>
                  <a:pt x="16" y="14"/>
                  <a:pt x="12" y="14"/>
                </a:cubicBezTo>
                <a:cubicBezTo>
                  <a:pt x="8" y="14"/>
                  <a:pt x="5" y="18"/>
                  <a:pt x="5" y="23"/>
                </a:cubicBezTo>
                <a:cubicBezTo>
                  <a:pt x="5" y="28"/>
                  <a:pt x="7" y="32"/>
                  <a:pt x="12" y="32"/>
                </a:cubicBezTo>
                <a:cubicBezTo>
                  <a:pt x="15" y="32"/>
                  <a:pt x="18" y="30"/>
                  <a:pt x="19" y="27"/>
                </a:cubicBezTo>
                <a:cubicBezTo>
                  <a:pt x="19" y="27"/>
                  <a:pt x="19" y="26"/>
                  <a:pt x="19" y="25"/>
                </a:cubicBezTo>
                <a:lnTo>
                  <a:pt x="19" y="21"/>
                </a:lnTo>
                <a:close/>
              </a:path>
            </a:pathLst>
          </a:custGeom>
          <a:solidFill>
            <a:srgbClr val="0071B1"/>
          </a:solidFill>
          <a:ln w="0" cap="flat" cmpd="sng">
            <a:noFill/>
            <a:prstDash/>
          </a:ln>
        </xdr:spPr>
      </xdr:sp>
      <xdr:sp macro="" textlink="">
        <xdr:nvSpPr>
          <xdr:cNvPr id="27" name="Oval 28">
            <a:extLst>
              <a:ext uri="{FF2B5EF4-FFF2-40B4-BE49-F238E27FC236}">
                <a16:creationId xmlns="" xmlns:a16="http://schemas.microsoft.com/office/drawing/2014/main" id="{00000000-0008-0000-0B00-00001B000000}"/>
              </a:ext>
            </a:extLst>
          </xdr:cNvPr>
          <xdr:cNvSpPr>
            <a:spLocks/>
          </xdr:cNvSpPr>
        </xdr:nvSpPr>
        <xdr:spPr>
          <a:xfrm>
            <a:off x="0" y="0"/>
            <a:ext cx="0" cy="0"/>
          </a:xfrm>
          <a:prstGeom prst="ellipse">
            <a:avLst/>
          </a:prstGeom>
          <a:solidFill>
            <a:srgbClr val="0071B1"/>
          </a:solidFill>
          <a:ln w="0" cap="flat" cmpd="sng">
            <a:noFill/>
            <a:prstDash/>
          </a:ln>
        </xdr:spPr>
      </xdr:sp>
      <xdr:sp macro="" textlink="">
        <xdr:nvSpPr>
          <xdr:cNvPr id="28" name="Freeform 29">
            <a:extLst>
              <a:ext uri="{FF2B5EF4-FFF2-40B4-BE49-F238E27FC236}">
                <a16:creationId xmlns="" xmlns:a16="http://schemas.microsoft.com/office/drawing/2014/main" id="{00000000-0008-0000-0B00-00001C000000}"/>
              </a:ext>
            </a:extLst>
          </xdr:cNvPr>
          <xdr:cNvSpPr>
            <a:spLocks/>
          </xdr:cNvSpPr>
        </xdr:nvSpPr>
        <xdr:spPr>
          <a:xfrm>
            <a:off x="0" y="0"/>
            <a:ext cx="0" cy="0"/>
          </a:xfrm>
          <a:custGeom>
            <a:avLst/>
            <a:gdLst/>
            <a:ahLst/>
            <a:cxnLst/>
            <a:rect l="0" t="0" r="0" b="0"/>
            <a:pathLst>
              <a:path w="43" h="22">
                <a:moveTo>
                  <a:pt x="11" y="0"/>
                </a:moveTo>
                <a:cubicBezTo>
                  <a:pt x="5" y="0"/>
                  <a:pt x="0" y="5"/>
                  <a:pt x="0" y="11"/>
                </a:cubicBezTo>
                <a:cubicBezTo>
                  <a:pt x="0" y="17"/>
                  <a:pt x="5" y="22"/>
                  <a:pt x="11" y="22"/>
                </a:cubicBezTo>
                <a:cubicBezTo>
                  <a:pt x="43" y="22"/>
                  <a:pt x="43" y="22"/>
                  <a:pt x="43" y="22"/>
                </a:cubicBezTo>
                <a:cubicBezTo>
                  <a:pt x="43" y="0"/>
                  <a:pt x="43" y="0"/>
                  <a:pt x="43" y="0"/>
                </a:cubicBezTo>
                <a:lnTo>
                  <a:pt x="11" y="0"/>
                </a:lnTo>
                <a:close/>
              </a:path>
            </a:pathLst>
          </a:custGeom>
          <a:solidFill>
            <a:srgbClr val="E62D35"/>
          </a:solidFill>
          <a:ln w="0" cap="flat" cmpd="sng">
            <a:noFill/>
            <a:prstDash/>
          </a:ln>
        </xdr:spPr>
      </xdr:sp>
      <xdr:sp macro="" textlink="">
        <xdr:nvSpPr>
          <xdr:cNvPr id="29" name="Freeform 30">
            <a:extLst>
              <a:ext uri="{FF2B5EF4-FFF2-40B4-BE49-F238E27FC236}">
                <a16:creationId xmlns="" xmlns:a16="http://schemas.microsoft.com/office/drawing/2014/main" id="{00000000-0008-0000-0B00-00001D000000}"/>
              </a:ext>
            </a:extLst>
          </xdr:cNvPr>
          <xdr:cNvSpPr>
            <a:spLocks/>
          </xdr:cNvSpPr>
        </xdr:nvSpPr>
        <xdr:spPr>
          <a:xfrm>
            <a:off x="0" y="0"/>
            <a:ext cx="0" cy="0"/>
          </a:xfrm>
          <a:custGeom>
            <a:avLst/>
            <a:gdLst/>
            <a:ahLst/>
            <a:cxnLst/>
            <a:rect l="0" t="0" r="0" b="0"/>
            <a:pathLst>
              <a:path w="43" h="22">
                <a:moveTo>
                  <a:pt x="32" y="0"/>
                </a:moveTo>
                <a:cubicBezTo>
                  <a:pt x="38" y="0"/>
                  <a:pt x="43" y="5"/>
                  <a:pt x="43" y="11"/>
                </a:cubicBezTo>
                <a:cubicBezTo>
                  <a:pt x="43" y="17"/>
                  <a:pt x="38" y="22"/>
                  <a:pt x="32" y="22"/>
                </a:cubicBezTo>
                <a:cubicBezTo>
                  <a:pt x="0" y="22"/>
                  <a:pt x="0" y="22"/>
                  <a:pt x="0" y="22"/>
                </a:cubicBezTo>
                <a:cubicBezTo>
                  <a:pt x="0" y="0"/>
                  <a:pt x="0" y="0"/>
                  <a:pt x="0" y="0"/>
                </a:cubicBezTo>
                <a:lnTo>
                  <a:pt x="32" y="0"/>
                </a:lnTo>
                <a:close/>
              </a:path>
            </a:pathLst>
          </a:custGeom>
          <a:solidFill>
            <a:srgbClr val="FDC41F"/>
          </a:solidFill>
          <a:ln w="0" cap="flat" cmpd="sng">
            <a:noFill/>
            <a:prstDash/>
          </a:ln>
        </xdr:spPr>
      </xdr:sp>
      <xdr:sp macro="" textlink="">
        <xdr:nvSpPr>
          <xdr:cNvPr id="30" name="Freeform 31">
            <a:extLst>
              <a:ext uri="{FF2B5EF4-FFF2-40B4-BE49-F238E27FC236}">
                <a16:creationId xmlns="" xmlns:a16="http://schemas.microsoft.com/office/drawing/2014/main" id="{00000000-0008-0000-0B00-00001E000000}"/>
              </a:ext>
            </a:extLst>
          </xdr:cNvPr>
          <xdr:cNvSpPr>
            <a:spLocks/>
          </xdr:cNvSpPr>
        </xdr:nvSpPr>
        <xdr:spPr>
          <a:xfrm>
            <a:off x="0" y="0"/>
            <a:ext cx="0" cy="0"/>
          </a:xfrm>
          <a:custGeom>
            <a:avLst/>
            <a:gdLst/>
            <a:ahLst/>
            <a:cxnLst/>
            <a:rect l="0" t="0" r="0" b="0"/>
            <a:pathLst>
              <a:path w="73" h="109">
                <a:moveTo>
                  <a:pt x="0" y="0"/>
                </a:moveTo>
                <a:cubicBezTo>
                  <a:pt x="32" y="0"/>
                  <a:pt x="32" y="0"/>
                  <a:pt x="32" y="0"/>
                </a:cubicBezTo>
                <a:cubicBezTo>
                  <a:pt x="55" y="0"/>
                  <a:pt x="73" y="18"/>
                  <a:pt x="73" y="41"/>
                </a:cubicBezTo>
                <a:cubicBezTo>
                  <a:pt x="73" y="63"/>
                  <a:pt x="55" y="82"/>
                  <a:pt x="32" y="82"/>
                </a:cubicBezTo>
                <a:cubicBezTo>
                  <a:pt x="28" y="82"/>
                  <a:pt x="28" y="82"/>
                  <a:pt x="28" y="82"/>
                </a:cubicBezTo>
                <a:cubicBezTo>
                  <a:pt x="28" y="109"/>
                  <a:pt x="28" y="109"/>
                  <a:pt x="28" y="109"/>
                </a:cubicBezTo>
                <a:cubicBezTo>
                  <a:pt x="0" y="109"/>
                  <a:pt x="0" y="109"/>
                  <a:pt x="0" y="109"/>
                </a:cubicBezTo>
                <a:cubicBezTo>
                  <a:pt x="0" y="82"/>
                  <a:pt x="0" y="82"/>
                  <a:pt x="0" y="82"/>
                </a:cubicBezTo>
                <a:cubicBezTo>
                  <a:pt x="0" y="54"/>
                  <a:pt x="0" y="54"/>
                  <a:pt x="0" y="54"/>
                </a:cubicBezTo>
                <a:cubicBezTo>
                  <a:pt x="32" y="54"/>
                  <a:pt x="32" y="54"/>
                  <a:pt x="32" y="54"/>
                </a:cubicBezTo>
                <a:cubicBezTo>
                  <a:pt x="40" y="54"/>
                  <a:pt x="46" y="48"/>
                  <a:pt x="46" y="41"/>
                </a:cubicBezTo>
                <a:cubicBezTo>
                  <a:pt x="46" y="33"/>
                  <a:pt x="40" y="27"/>
                  <a:pt x="32" y="27"/>
                </a:cubicBezTo>
                <a:cubicBezTo>
                  <a:pt x="0" y="27"/>
                  <a:pt x="0" y="27"/>
                  <a:pt x="0" y="27"/>
                </a:cubicBezTo>
                <a:lnTo>
                  <a:pt x="0" y="0"/>
                </a:lnTo>
                <a:close/>
              </a:path>
            </a:pathLst>
          </a:custGeom>
          <a:solidFill>
            <a:srgbClr val="0071B1"/>
          </a:solidFill>
          <a:ln w="0" cap="flat" cmpd="sng">
            <a:noFill/>
            <a:prstDash/>
          </a:ln>
        </xdr:spPr>
      </xdr:sp>
      <xdr:sp macro="" textlink="">
        <xdr:nvSpPr>
          <xdr:cNvPr id="31" name="Freeform 32">
            <a:extLst>
              <a:ext uri="{FF2B5EF4-FFF2-40B4-BE49-F238E27FC236}">
                <a16:creationId xmlns="" xmlns:a16="http://schemas.microsoft.com/office/drawing/2014/main" id="{00000000-0008-0000-0B00-00001F000000}"/>
              </a:ext>
            </a:extLst>
          </xdr:cNvPr>
          <xdr:cNvSpPr>
            <a:spLocks/>
          </xdr:cNvSpPr>
        </xdr:nvSpPr>
        <xdr:spPr>
          <a:xfrm>
            <a:off x="0" y="0"/>
            <a:ext cx="0" cy="0"/>
          </a:xfrm>
          <a:custGeom>
            <a:avLst/>
            <a:gdLst/>
            <a:ahLst/>
            <a:cxnLst/>
            <a:rect l="0" t="0" r="0" b="0"/>
            <a:pathLst>
              <a:path w="100" h="176">
                <a:moveTo>
                  <a:pt x="28" y="108"/>
                </a:moveTo>
                <a:cubicBezTo>
                  <a:pt x="28" y="85"/>
                  <a:pt x="46" y="67"/>
                  <a:pt x="68" y="67"/>
                </a:cubicBezTo>
                <a:cubicBezTo>
                  <a:pt x="73" y="67"/>
                  <a:pt x="73" y="67"/>
                  <a:pt x="73" y="67"/>
                </a:cubicBezTo>
                <a:cubicBezTo>
                  <a:pt x="100" y="67"/>
                  <a:pt x="100" y="67"/>
                  <a:pt x="100" y="67"/>
                </a:cubicBezTo>
                <a:cubicBezTo>
                  <a:pt x="100" y="0"/>
                  <a:pt x="100" y="0"/>
                  <a:pt x="100" y="0"/>
                </a:cubicBezTo>
                <a:cubicBezTo>
                  <a:pt x="73" y="0"/>
                  <a:pt x="73" y="0"/>
                  <a:pt x="73" y="0"/>
                </a:cubicBezTo>
                <a:cubicBezTo>
                  <a:pt x="73" y="40"/>
                  <a:pt x="73" y="40"/>
                  <a:pt x="73" y="40"/>
                </a:cubicBezTo>
                <a:cubicBezTo>
                  <a:pt x="68" y="40"/>
                  <a:pt x="68" y="40"/>
                  <a:pt x="68" y="40"/>
                </a:cubicBezTo>
                <a:cubicBezTo>
                  <a:pt x="68" y="40"/>
                  <a:pt x="67" y="40"/>
                  <a:pt x="67" y="40"/>
                </a:cubicBezTo>
                <a:cubicBezTo>
                  <a:pt x="66" y="40"/>
                  <a:pt x="65" y="40"/>
                  <a:pt x="65" y="40"/>
                </a:cubicBezTo>
                <a:cubicBezTo>
                  <a:pt x="64" y="40"/>
                  <a:pt x="64" y="40"/>
                  <a:pt x="63" y="40"/>
                </a:cubicBezTo>
                <a:cubicBezTo>
                  <a:pt x="63" y="40"/>
                  <a:pt x="62" y="40"/>
                  <a:pt x="61" y="40"/>
                </a:cubicBezTo>
                <a:cubicBezTo>
                  <a:pt x="61" y="40"/>
                  <a:pt x="61" y="40"/>
                  <a:pt x="61" y="40"/>
                </a:cubicBezTo>
                <a:cubicBezTo>
                  <a:pt x="61" y="40"/>
                  <a:pt x="60" y="40"/>
                  <a:pt x="60" y="40"/>
                </a:cubicBezTo>
                <a:cubicBezTo>
                  <a:pt x="59" y="41"/>
                  <a:pt x="57" y="41"/>
                  <a:pt x="56" y="41"/>
                </a:cubicBezTo>
                <a:cubicBezTo>
                  <a:pt x="56" y="41"/>
                  <a:pt x="56" y="41"/>
                  <a:pt x="56" y="41"/>
                </a:cubicBezTo>
                <a:cubicBezTo>
                  <a:pt x="56" y="41"/>
                  <a:pt x="56" y="41"/>
                  <a:pt x="56" y="41"/>
                </a:cubicBezTo>
                <a:cubicBezTo>
                  <a:pt x="56" y="41"/>
                  <a:pt x="55" y="41"/>
                  <a:pt x="55" y="41"/>
                </a:cubicBezTo>
                <a:cubicBezTo>
                  <a:pt x="55" y="41"/>
                  <a:pt x="55" y="41"/>
                  <a:pt x="55" y="41"/>
                </a:cubicBezTo>
                <a:cubicBezTo>
                  <a:pt x="54" y="41"/>
                  <a:pt x="54" y="41"/>
                  <a:pt x="53" y="42"/>
                </a:cubicBezTo>
                <a:cubicBezTo>
                  <a:pt x="53" y="42"/>
                  <a:pt x="53" y="42"/>
                  <a:pt x="53" y="42"/>
                </a:cubicBezTo>
                <a:cubicBezTo>
                  <a:pt x="52" y="42"/>
                  <a:pt x="52" y="42"/>
                  <a:pt x="51" y="42"/>
                </a:cubicBezTo>
                <a:cubicBezTo>
                  <a:pt x="51" y="42"/>
                  <a:pt x="51" y="42"/>
                  <a:pt x="51" y="42"/>
                </a:cubicBezTo>
                <a:cubicBezTo>
                  <a:pt x="51" y="42"/>
                  <a:pt x="50" y="42"/>
                  <a:pt x="50" y="42"/>
                </a:cubicBezTo>
                <a:cubicBezTo>
                  <a:pt x="49" y="43"/>
                  <a:pt x="49" y="43"/>
                  <a:pt x="49" y="43"/>
                </a:cubicBezTo>
                <a:cubicBezTo>
                  <a:pt x="49" y="43"/>
                  <a:pt x="49" y="43"/>
                  <a:pt x="48" y="43"/>
                </a:cubicBezTo>
                <a:cubicBezTo>
                  <a:pt x="48" y="43"/>
                  <a:pt x="48" y="43"/>
                  <a:pt x="48" y="43"/>
                </a:cubicBezTo>
                <a:cubicBezTo>
                  <a:pt x="47" y="43"/>
                  <a:pt x="47" y="43"/>
                  <a:pt x="47" y="43"/>
                </a:cubicBezTo>
                <a:cubicBezTo>
                  <a:pt x="46" y="44"/>
                  <a:pt x="46" y="44"/>
                  <a:pt x="46" y="44"/>
                </a:cubicBezTo>
                <a:cubicBezTo>
                  <a:pt x="45" y="44"/>
                  <a:pt x="45" y="44"/>
                  <a:pt x="45" y="44"/>
                </a:cubicBezTo>
                <a:cubicBezTo>
                  <a:pt x="45" y="44"/>
                  <a:pt x="45" y="44"/>
                  <a:pt x="45" y="44"/>
                </a:cubicBezTo>
                <a:cubicBezTo>
                  <a:pt x="44" y="44"/>
                  <a:pt x="44" y="44"/>
                  <a:pt x="44" y="44"/>
                </a:cubicBezTo>
                <a:cubicBezTo>
                  <a:pt x="43" y="45"/>
                  <a:pt x="43" y="45"/>
                  <a:pt x="43" y="45"/>
                </a:cubicBezTo>
                <a:cubicBezTo>
                  <a:pt x="43" y="45"/>
                  <a:pt x="43" y="45"/>
                  <a:pt x="42" y="45"/>
                </a:cubicBezTo>
                <a:cubicBezTo>
                  <a:pt x="42" y="45"/>
                  <a:pt x="42" y="45"/>
                  <a:pt x="42" y="45"/>
                </a:cubicBezTo>
                <a:cubicBezTo>
                  <a:pt x="41" y="45"/>
                  <a:pt x="41" y="46"/>
                  <a:pt x="40" y="46"/>
                </a:cubicBezTo>
                <a:cubicBezTo>
                  <a:pt x="40" y="46"/>
                  <a:pt x="40" y="46"/>
                  <a:pt x="40" y="46"/>
                </a:cubicBezTo>
                <a:cubicBezTo>
                  <a:pt x="40" y="46"/>
                  <a:pt x="39" y="46"/>
                  <a:pt x="39" y="46"/>
                </a:cubicBezTo>
                <a:cubicBezTo>
                  <a:pt x="38" y="47"/>
                  <a:pt x="38" y="47"/>
                  <a:pt x="38" y="47"/>
                </a:cubicBezTo>
                <a:cubicBezTo>
                  <a:pt x="38" y="47"/>
                  <a:pt x="38" y="47"/>
                  <a:pt x="38" y="47"/>
                </a:cubicBezTo>
                <a:cubicBezTo>
                  <a:pt x="37" y="47"/>
                  <a:pt x="37" y="47"/>
                  <a:pt x="37" y="47"/>
                </a:cubicBezTo>
                <a:cubicBezTo>
                  <a:pt x="37" y="48"/>
                  <a:pt x="36" y="48"/>
                  <a:pt x="36" y="48"/>
                </a:cubicBezTo>
                <a:cubicBezTo>
                  <a:pt x="36" y="48"/>
                  <a:pt x="36" y="48"/>
                  <a:pt x="36" y="48"/>
                </a:cubicBezTo>
                <a:cubicBezTo>
                  <a:pt x="35" y="49"/>
                  <a:pt x="35" y="49"/>
                  <a:pt x="35" y="49"/>
                </a:cubicBezTo>
                <a:cubicBezTo>
                  <a:pt x="34" y="49"/>
                  <a:pt x="34" y="49"/>
                  <a:pt x="34" y="49"/>
                </a:cubicBezTo>
                <a:cubicBezTo>
                  <a:pt x="33" y="49"/>
                  <a:pt x="33" y="49"/>
                  <a:pt x="33" y="49"/>
                </a:cubicBezTo>
                <a:cubicBezTo>
                  <a:pt x="33" y="50"/>
                  <a:pt x="33" y="50"/>
                  <a:pt x="33" y="50"/>
                </a:cubicBezTo>
                <a:cubicBezTo>
                  <a:pt x="33" y="50"/>
                  <a:pt x="32" y="50"/>
                  <a:pt x="32" y="50"/>
                </a:cubicBezTo>
                <a:cubicBezTo>
                  <a:pt x="32" y="51"/>
                  <a:pt x="32" y="51"/>
                  <a:pt x="32" y="51"/>
                </a:cubicBezTo>
                <a:cubicBezTo>
                  <a:pt x="31" y="51"/>
                  <a:pt x="31" y="51"/>
                  <a:pt x="31" y="51"/>
                </a:cubicBezTo>
                <a:cubicBezTo>
                  <a:pt x="30" y="51"/>
                  <a:pt x="30" y="51"/>
                  <a:pt x="30" y="51"/>
                </a:cubicBezTo>
                <a:cubicBezTo>
                  <a:pt x="30" y="52"/>
                  <a:pt x="29" y="52"/>
                  <a:pt x="29" y="52"/>
                </a:cubicBezTo>
                <a:cubicBezTo>
                  <a:pt x="29" y="53"/>
                  <a:pt x="29" y="53"/>
                  <a:pt x="29" y="53"/>
                </a:cubicBezTo>
                <a:cubicBezTo>
                  <a:pt x="28" y="53"/>
                  <a:pt x="28" y="53"/>
                  <a:pt x="28" y="53"/>
                </a:cubicBezTo>
                <a:cubicBezTo>
                  <a:pt x="27" y="54"/>
                  <a:pt x="27" y="54"/>
                  <a:pt x="27" y="54"/>
                </a:cubicBezTo>
                <a:cubicBezTo>
                  <a:pt x="27" y="54"/>
                  <a:pt x="27" y="54"/>
                  <a:pt x="26" y="54"/>
                </a:cubicBezTo>
                <a:cubicBezTo>
                  <a:pt x="26" y="55"/>
                  <a:pt x="26" y="55"/>
                  <a:pt x="26" y="55"/>
                </a:cubicBezTo>
                <a:cubicBezTo>
                  <a:pt x="26" y="55"/>
                  <a:pt x="26" y="55"/>
                  <a:pt x="25" y="55"/>
                </a:cubicBezTo>
                <a:cubicBezTo>
                  <a:pt x="25" y="56"/>
                  <a:pt x="25" y="56"/>
                  <a:pt x="25" y="56"/>
                </a:cubicBezTo>
                <a:cubicBezTo>
                  <a:pt x="24" y="56"/>
                  <a:pt x="24" y="56"/>
                  <a:pt x="24" y="56"/>
                </a:cubicBezTo>
                <a:cubicBezTo>
                  <a:pt x="24" y="57"/>
                  <a:pt x="24" y="57"/>
                  <a:pt x="24" y="57"/>
                </a:cubicBezTo>
                <a:cubicBezTo>
                  <a:pt x="23" y="57"/>
                  <a:pt x="23" y="57"/>
                  <a:pt x="23" y="57"/>
                </a:cubicBezTo>
                <a:cubicBezTo>
                  <a:pt x="22" y="58"/>
                  <a:pt x="22" y="58"/>
                  <a:pt x="22" y="58"/>
                </a:cubicBezTo>
                <a:cubicBezTo>
                  <a:pt x="22" y="58"/>
                  <a:pt x="22" y="58"/>
                  <a:pt x="22" y="58"/>
                </a:cubicBezTo>
                <a:cubicBezTo>
                  <a:pt x="21" y="59"/>
                  <a:pt x="21" y="59"/>
                  <a:pt x="21" y="59"/>
                </a:cubicBezTo>
                <a:cubicBezTo>
                  <a:pt x="21" y="59"/>
                  <a:pt x="21" y="59"/>
                  <a:pt x="21" y="59"/>
                </a:cubicBezTo>
                <a:cubicBezTo>
                  <a:pt x="20" y="60"/>
                  <a:pt x="20" y="60"/>
                  <a:pt x="20" y="60"/>
                </a:cubicBezTo>
                <a:cubicBezTo>
                  <a:pt x="20" y="60"/>
                  <a:pt x="19" y="61"/>
                  <a:pt x="19" y="61"/>
                </a:cubicBezTo>
                <a:cubicBezTo>
                  <a:pt x="19" y="61"/>
                  <a:pt x="19" y="61"/>
                  <a:pt x="19" y="61"/>
                </a:cubicBezTo>
                <a:cubicBezTo>
                  <a:pt x="19" y="61"/>
                  <a:pt x="18" y="62"/>
                  <a:pt x="18" y="62"/>
                </a:cubicBezTo>
                <a:cubicBezTo>
                  <a:pt x="18" y="62"/>
                  <a:pt x="18" y="62"/>
                  <a:pt x="18" y="62"/>
                </a:cubicBezTo>
                <a:cubicBezTo>
                  <a:pt x="17" y="63"/>
                  <a:pt x="17" y="63"/>
                  <a:pt x="17" y="63"/>
                </a:cubicBezTo>
                <a:cubicBezTo>
                  <a:pt x="17" y="64"/>
                  <a:pt x="17" y="64"/>
                  <a:pt x="17" y="64"/>
                </a:cubicBezTo>
                <a:cubicBezTo>
                  <a:pt x="16" y="64"/>
                  <a:pt x="16" y="64"/>
                  <a:pt x="16" y="64"/>
                </a:cubicBezTo>
                <a:cubicBezTo>
                  <a:pt x="16" y="65"/>
                  <a:pt x="16" y="65"/>
                  <a:pt x="16" y="65"/>
                </a:cubicBezTo>
                <a:cubicBezTo>
                  <a:pt x="15" y="66"/>
                  <a:pt x="15" y="66"/>
                  <a:pt x="15" y="66"/>
                </a:cubicBezTo>
                <a:cubicBezTo>
                  <a:pt x="15" y="66"/>
                  <a:pt x="15" y="66"/>
                  <a:pt x="15" y="66"/>
                </a:cubicBezTo>
                <a:cubicBezTo>
                  <a:pt x="14" y="67"/>
                  <a:pt x="14" y="67"/>
                  <a:pt x="14" y="67"/>
                </a:cubicBezTo>
                <a:cubicBezTo>
                  <a:pt x="14" y="67"/>
                  <a:pt x="14" y="67"/>
                  <a:pt x="14" y="67"/>
                </a:cubicBezTo>
                <a:cubicBezTo>
                  <a:pt x="14" y="68"/>
                  <a:pt x="13" y="68"/>
                  <a:pt x="13" y="68"/>
                </a:cubicBezTo>
                <a:cubicBezTo>
                  <a:pt x="13" y="69"/>
                  <a:pt x="13" y="69"/>
                  <a:pt x="13" y="69"/>
                </a:cubicBezTo>
                <a:cubicBezTo>
                  <a:pt x="13" y="69"/>
                  <a:pt x="12" y="69"/>
                  <a:pt x="12" y="70"/>
                </a:cubicBezTo>
                <a:cubicBezTo>
                  <a:pt x="12" y="70"/>
                  <a:pt x="12" y="70"/>
                  <a:pt x="12" y="70"/>
                </a:cubicBezTo>
                <a:cubicBezTo>
                  <a:pt x="12" y="70"/>
                  <a:pt x="11" y="71"/>
                  <a:pt x="11" y="71"/>
                </a:cubicBezTo>
                <a:cubicBezTo>
                  <a:pt x="11" y="71"/>
                  <a:pt x="11" y="71"/>
                  <a:pt x="11" y="71"/>
                </a:cubicBezTo>
                <a:cubicBezTo>
                  <a:pt x="11" y="72"/>
                  <a:pt x="10" y="72"/>
                  <a:pt x="10" y="72"/>
                </a:cubicBezTo>
                <a:cubicBezTo>
                  <a:pt x="10" y="73"/>
                  <a:pt x="10" y="73"/>
                  <a:pt x="10" y="73"/>
                </a:cubicBezTo>
                <a:cubicBezTo>
                  <a:pt x="10" y="73"/>
                  <a:pt x="10" y="74"/>
                  <a:pt x="9" y="74"/>
                </a:cubicBezTo>
                <a:cubicBezTo>
                  <a:pt x="9" y="74"/>
                  <a:pt x="9" y="74"/>
                  <a:pt x="9" y="74"/>
                </a:cubicBezTo>
                <a:cubicBezTo>
                  <a:pt x="9" y="75"/>
                  <a:pt x="9" y="75"/>
                  <a:pt x="9" y="75"/>
                </a:cubicBezTo>
                <a:cubicBezTo>
                  <a:pt x="8" y="76"/>
                  <a:pt x="8" y="76"/>
                  <a:pt x="8" y="76"/>
                </a:cubicBezTo>
                <a:cubicBezTo>
                  <a:pt x="8" y="77"/>
                  <a:pt x="8" y="77"/>
                  <a:pt x="8" y="77"/>
                </a:cubicBezTo>
                <a:cubicBezTo>
                  <a:pt x="8" y="77"/>
                  <a:pt x="8" y="77"/>
                  <a:pt x="8" y="77"/>
                </a:cubicBezTo>
                <a:cubicBezTo>
                  <a:pt x="8" y="77"/>
                  <a:pt x="7" y="78"/>
                  <a:pt x="7" y="78"/>
                </a:cubicBezTo>
                <a:cubicBezTo>
                  <a:pt x="7" y="79"/>
                  <a:pt x="7" y="79"/>
                  <a:pt x="7" y="79"/>
                </a:cubicBezTo>
                <a:cubicBezTo>
                  <a:pt x="7" y="79"/>
                  <a:pt x="7" y="79"/>
                  <a:pt x="7" y="79"/>
                </a:cubicBezTo>
                <a:cubicBezTo>
                  <a:pt x="6" y="80"/>
                  <a:pt x="6" y="80"/>
                  <a:pt x="6" y="80"/>
                </a:cubicBezTo>
                <a:cubicBezTo>
                  <a:pt x="6" y="80"/>
                  <a:pt x="6" y="81"/>
                  <a:pt x="6" y="81"/>
                </a:cubicBezTo>
                <a:cubicBezTo>
                  <a:pt x="6" y="81"/>
                  <a:pt x="6" y="81"/>
                  <a:pt x="6" y="81"/>
                </a:cubicBezTo>
                <a:cubicBezTo>
                  <a:pt x="5" y="82"/>
                  <a:pt x="5" y="82"/>
                  <a:pt x="5" y="83"/>
                </a:cubicBezTo>
                <a:cubicBezTo>
                  <a:pt x="5" y="83"/>
                  <a:pt x="5" y="83"/>
                  <a:pt x="5" y="83"/>
                </a:cubicBezTo>
                <a:cubicBezTo>
                  <a:pt x="5" y="84"/>
                  <a:pt x="5" y="84"/>
                  <a:pt x="4" y="84"/>
                </a:cubicBezTo>
                <a:cubicBezTo>
                  <a:pt x="4" y="85"/>
                  <a:pt x="4" y="85"/>
                  <a:pt x="4" y="85"/>
                </a:cubicBezTo>
                <a:cubicBezTo>
                  <a:pt x="4" y="85"/>
                  <a:pt x="4" y="86"/>
                  <a:pt x="4" y="86"/>
                </a:cubicBezTo>
                <a:cubicBezTo>
                  <a:pt x="4" y="86"/>
                  <a:pt x="4" y="86"/>
                  <a:pt x="4" y="86"/>
                </a:cubicBezTo>
                <a:cubicBezTo>
                  <a:pt x="4" y="87"/>
                  <a:pt x="4" y="87"/>
                  <a:pt x="3" y="87"/>
                </a:cubicBezTo>
                <a:cubicBezTo>
                  <a:pt x="3" y="88"/>
                  <a:pt x="3" y="88"/>
                  <a:pt x="3" y="88"/>
                </a:cubicBezTo>
                <a:cubicBezTo>
                  <a:pt x="3" y="89"/>
                  <a:pt x="3" y="89"/>
                  <a:pt x="3" y="89"/>
                </a:cubicBezTo>
                <a:cubicBezTo>
                  <a:pt x="3" y="89"/>
                  <a:pt x="3" y="89"/>
                  <a:pt x="3" y="89"/>
                </a:cubicBezTo>
                <a:cubicBezTo>
                  <a:pt x="3" y="90"/>
                  <a:pt x="3" y="90"/>
                  <a:pt x="3" y="90"/>
                </a:cubicBezTo>
                <a:cubicBezTo>
                  <a:pt x="2" y="91"/>
                  <a:pt x="2" y="91"/>
                  <a:pt x="2" y="91"/>
                </a:cubicBezTo>
                <a:cubicBezTo>
                  <a:pt x="2" y="91"/>
                  <a:pt x="2" y="92"/>
                  <a:pt x="2" y="92"/>
                </a:cubicBezTo>
                <a:cubicBezTo>
                  <a:pt x="2" y="93"/>
                  <a:pt x="2" y="93"/>
                  <a:pt x="2" y="93"/>
                </a:cubicBezTo>
                <a:cubicBezTo>
                  <a:pt x="2" y="93"/>
                  <a:pt x="2" y="93"/>
                  <a:pt x="2" y="94"/>
                </a:cubicBezTo>
                <a:cubicBezTo>
                  <a:pt x="2" y="94"/>
                  <a:pt x="2" y="94"/>
                  <a:pt x="2" y="94"/>
                </a:cubicBezTo>
                <a:cubicBezTo>
                  <a:pt x="2" y="95"/>
                  <a:pt x="1" y="95"/>
                  <a:pt x="1" y="96"/>
                </a:cubicBezTo>
                <a:cubicBezTo>
                  <a:pt x="1" y="96"/>
                  <a:pt x="1" y="96"/>
                  <a:pt x="1" y="96"/>
                </a:cubicBezTo>
                <a:cubicBezTo>
                  <a:pt x="1" y="97"/>
                  <a:pt x="1" y="97"/>
                  <a:pt x="1" y="97"/>
                </a:cubicBezTo>
                <a:cubicBezTo>
                  <a:pt x="1" y="98"/>
                  <a:pt x="1" y="98"/>
                  <a:pt x="1" y="98"/>
                </a:cubicBezTo>
                <a:cubicBezTo>
                  <a:pt x="1" y="98"/>
                  <a:pt x="1" y="99"/>
                  <a:pt x="1" y="99"/>
                </a:cubicBezTo>
                <a:cubicBezTo>
                  <a:pt x="1" y="100"/>
                  <a:pt x="1" y="100"/>
                  <a:pt x="1" y="100"/>
                </a:cubicBezTo>
                <a:cubicBezTo>
                  <a:pt x="1" y="100"/>
                  <a:pt x="1" y="100"/>
                  <a:pt x="1" y="101"/>
                </a:cubicBezTo>
                <a:cubicBezTo>
                  <a:pt x="1" y="101"/>
                  <a:pt x="1" y="101"/>
                  <a:pt x="1" y="101"/>
                </a:cubicBezTo>
                <a:cubicBezTo>
                  <a:pt x="1" y="102"/>
                  <a:pt x="1" y="102"/>
                  <a:pt x="1" y="102"/>
                </a:cubicBezTo>
                <a:cubicBezTo>
                  <a:pt x="0" y="103"/>
                  <a:pt x="0" y="103"/>
                  <a:pt x="0" y="103"/>
                </a:cubicBezTo>
                <a:cubicBezTo>
                  <a:pt x="0" y="103"/>
                  <a:pt x="0" y="104"/>
                  <a:pt x="0" y="104"/>
                </a:cubicBezTo>
                <a:cubicBezTo>
                  <a:pt x="0" y="105"/>
                  <a:pt x="0" y="105"/>
                  <a:pt x="0" y="105"/>
                </a:cubicBezTo>
                <a:cubicBezTo>
                  <a:pt x="0" y="105"/>
                  <a:pt x="0" y="105"/>
                  <a:pt x="0" y="106"/>
                </a:cubicBezTo>
                <a:cubicBezTo>
                  <a:pt x="0" y="106"/>
                  <a:pt x="0" y="106"/>
                  <a:pt x="0" y="106"/>
                </a:cubicBezTo>
                <a:cubicBezTo>
                  <a:pt x="0" y="107"/>
                  <a:pt x="0" y="107"/>
                  <a:pt x="0" y="108"/>
                </a:cubicBezTo>
                <a:cubicBezTo>
                  <a:pt x="0" y="108"/>
                  <a:pt x="0" y="109"/>
                  <a:pt x="0" y="110"/>
                </a:cubicBezTo>
                <a:cubicBezTo>
                  <a:pt x="0" y="110"/>
                  <a:pt x="0" y="110"/>
                  <a:pt x="0" y="110"/>
                </a:cubicBezTo>
                <a:cubicBezTo>
                  <a:pt x="0" y="110"/>
                  <a:pt x="0" y="111"/>
                  <a:pt x="0" y="111"/>
                </a:cubicBezTo>
                <a:cubicBezTo>
                  <a:pt x="0" y="112"/>
                  <a:pt x="0" y="112"/>
                  <a:pt x="0" y="112"/>
                </a:cubicBezTo>
                <a:cubicBezTo>
                  <a:pt x="0" y="112"/>
                  <a:pt x="0" y="112"/>
                  <a:pt x="0" y="113"/>
                </a:cubicBezTo>
                <a:cubicBezTo>
                  <a:pt x="1" y="113"/>
                  <a:pt x="1" y="113"/>
                  <a:pt x="1" y="113"/>
                </a:cubicBezTo>
                <a:cubicBezTo>
                  <a:pt x="1" y="114"/>
                  <a:pt x="1" y="114"/>
                  <a:pt x="1" y="114"/>
                </a:cubicBezTo>
                <a:cubicBezTo>
                  <a:pt x="1" y="115"/>
                  <a:pt x="1" y="115"/>
                  <a:pt x="1" y="115"/>
                </a:cubicBezTo>
                <a:cubicBezTo>
                  <a:pt x="1" y="115"/>
                  <a:pt x="1" y="116"/>
                  <a:pt x="1" y="116"/>
                </a:cubicBezTo>
                <a:cubicBezTo>
                  <a:pt x="1" y="117"/>
                  <a:pt x="1" y="117"/>
                  <a:pt x="1" y="117"/>
                </a:cubicBezTo>
                <a:cubicBezTo>
                  <a:pt x="1" y="117"/>
                  <a:pt x="1" y="117"/>
                  <a:pt x="1" y="118"/>
                </a:cubicBezTo>
                <a:cubicBezTo>
                  <a:pt x="1" y="118"/>
                  <a:pt x="1" y="118"/>
                  <a:pt x="1" y="118"/>
                </a:cubicBezTo>
                <a:cubicBezTo>
                  <a:pt x="1" y="119"/>
                  <a:pt x="1" y="119"/>
                  <a:pt x="1" y="119"/>
                </a:cubicBezTo>
                <a:cubicBezTo>
                  <a:pt x="1" y="120"/>
                  <a:pt x="1" y="120"/>
                  <a:pt x="1" y="120"/>
                </a:cubicBezTo>
                <a:cubicBezTo>
                  <a:pt x="1" y="120"/>
                  <a:pt x="2" y="121"/>
                  <a:pt x="2" y="122"/>
                </a:cubicBezTo>
                <a:cubicBezTo>
                  <a:pt x="2" y="122"/>
                  <a:pt x="2" y="122"/>
                  <a:pt x="2" y="122"/>
                </a:cubicBezTo>
                <a:cubicBezTo>
                  <a:pt x="2" y="122"/>
                  <a:pt x="2" y="123"/>
                  <a:pt x="2" y="123"/>
                </a:cubicBezTo>
                <a:cubicBezTo>
                  <a:pt x="2" y="124"/>
                  <a:pt x="2" y="124"/>
                  <a:pt x="2" y="124"/>
                </a:cubicBezTo>
                <a:cubicBezTo>
                  <a:pt x="2" y="124"/>
                  <a:pt x="2" y="124"/>
                  <a:pt x="2" y="125"/>
                </a:cubicBezTo>
                <a:cubicBezTo>
                  <a:pt x="3" y="125"/>
                  <a:pt x="3" y="125"/>
                  <a:pt x="3" y="125"/>
                </a:cubicBezTo>
                <a:cubicBezTo>
                  <a:pt x="3" y="126"/>
                  <a:pt x="3" y="126"/>
                  <a:pt x="3" y="126"/>
                </a:cubicBezTo>
                <a:cubicBezTo>
                  <a:pt x="3" y="127"/>
                  <a:pt x="3" y="127"/>
                  <a:pt x="3" y="127"/>
                </a:cubicBezTo>
                <a:cubicBezTo>
                  <a:pt x="3" y="128"/>
                  <a:pt x="3" y="128"/>
                  <a:pt x="3" y="128"/>
                </a:cubicBezTo>
                <a:cubicBezTo>
                  <a:pt x="3" y="128"/>
                  <a:pt x="3" y="128"/>
                  <a:pt x="3" y="128"/>
                </a:cubicBezTo>
                <a:cubicBezTo>
                  <a:pt x="4" y="129"/>
                  <a:pt x="4" y="129"/>
                  <a:pt x="4" y="129"/>
                </a:cubicBezTo>
                <a:cubicBezTo>
                  <a:pt x="4" y="130"/>
                  <a:pt x="4" y="130"/>
                  <a:pt x="4" y="130"/>
                </a:cubicBezTo>
                <a:cubicBezTo>
                  <a:pt x="4" y="130"/>
                  <a:pt x="4" y="130"/>
                  <a:pt x="4" y="131"/>
                </a:cubicBezTo>
                <a:cubicBezTo>
                  <a:pt x="4" y="131"/>
                  <a:pt x="4" y="131"/>
                  <a:pt x="4" y="131"/>
                </a:cubicBezTo>
                <a:cubicBezTo>
                  <a:pt x="5" y="132"/>
                  <a:pt x="5" y="132"/>
                  <a:pt x="5" y="132"/>
                </a:cubicBezTo>
                <a:cubicBezTo>
                  <a:pt x="5" y="133"/>
                  <a:pt x="5" y="133"/>
                  <a:pt x="5" y="133"/>
                </a:cubicBezTo>
                <a:cubicBezTo>
                  <a:pt x="5" y="133"/>
                  <a:pt x="5" y="134"/>
                  <a:pt x="6" y="134"/>
                </a:cubicBezTo>
                <a:cubicBezTo>
                  <a:pt x="6" y="135"/>
                  <a:pt x="6" y="135"/>
                  <a:pt x="6" y="135"/>
                </a:cubicBezTo>
                <a:cubicBezTo>
                  <a:pt x="6" y="135"/>
                  <a:pt x="6" y="135"/>
                  <a:pt x="6" y="136"/>
                </a:cubicBezTo>
                <a:cubicBezTo>
                  <a:pt x="7" y="136"/>
                  <a:pt x="7" y="136"/>
                  <a:pt x="7" y="136"/>
                </a:cubicBezTo>
                <a:cubicBezTo>
                  <a:pt x="7" y="137"/>
                  <a:pt x="7" y="137"/>
                  <a:pt x="7" y="137"/>
                </a:cubicBezTo>
                <a:cubicBezTo>
                  <a:pt x="7" y="138"/>
                  <a:pt x="7" y="138"/>
                  <a:pt x="7" y="138"/>
                </a:cubicBezTo>
                <a:cubicBezTo>
                  <a:pt x="7" y="138"/>
                  <a:pt x="8" y="138"/>
                  <a:pt x="8" y="139"/>
                </a:cubicBezTo>
                <a:cubicBezTo>
                  <a:pt x="8" y="139"/>
                  <a:pt x="8" y="139"/>
                  <a:pt x="8" y="139"/>
                </a:cubicBezTo>
                <a:cubicBezTo>
                  <a:pt x="8" y="140"/>
                  <a:pt x="8" y="140"/>
                  <a:pt x="8" y="140"/>
                </a:cubicBezTo>
                <a:cubicBezTo>
                  <a:pt x="9" y="141"/>
                  <a:pt x="9" y="141"/>
                  <a:pt x="9" y="141"/>
                </a:cubicBezTo>
                <a:cubicBezTo>
                  <a:pt x="9" y="141"/>
                  <a:pt x="9" y="141"/>
                  <a:pt x="9" y="141"/>
                </a:cubicBezTo>
                <a:cubicBezTo>
                  <a:pt x="9" y="142"/>
                  <a:pt x="9" y="142"/>
                  <a:pt x="9" y="142"/>
                </a:cubicBezTo>
                <a:cubicBezTo>
                  <a:pt x="10" y="142"/>
                  <a:pt x="10" y="142"/>
                  <a:pt x="10" y="143"/>
                </a:cubicBezTo>
                <a:cubicBezTo>
                  <a:pt x="10" y="143"/>
                  <a:pt x="10" y="143"/>
                  <a:pt x="10" y="143"/>
                </a:cubicBezTo>
                <a:cubicBezTo>
                  <a:pt x="10" y="144"/>
                  <a:pt x="11" y="144"/>
                  <a:pt x="11" y="144"/>
                </a:cubicBezTo>
                <a:cubicBezTo>
                  <a:pt x="11" y="145"/>
                  <a:pt x="11" y="145"/>
                  <a:pt x="11" y="145"/>
                </a:cubicBezTo>
                <a:cubicBezTo>
                  <a:pt x="11" y="145"/>
                  <a:pt x="12" y="145"/>
                  <a:pt x="12" y="146"/>
                </a:cubicBezTo>
                <a:cubicBezTo>
                  <a:pt x="12" y="146"/>
                  <a:pt x="12" y="146"/>
                  <a:pt x="12" y="146"/>
                </a:cubicBezTo>
                <a:cubicBezTo>
                  <a:pt x="12" y="146"/>
                  <a:pt x="13" y="147"/>
                  <a:pt x="13" y="147"/>
                </a:cubicBezTo>
                <a:cubicBezTo>
                  <a:pt x="13" y="148"/>
                  <a:pt x="13" y="148"/>
                  <a:pt x="13" y="148"/>
                </a:cubicBezTo>
                <a:cubicBezTo>
                  <a:pt x="13" y="148"/>
                  <a:pt x="14" y="148"/>
                  <a:pt x="14" y="148"/>
                </a:cubicBezTo>
                <a:cubicBezTo>
                  <a:pt x="14" y="149"/>
                  <a:pt x="14" y="149"/>
                  <a:pt x="14" y="149"/>
                </a:cubicBezTo>
                <a:cubicBezTo>
                  <a:pt x="15" y="150"/>
                  <a:pt x="15" y="150"/>
                  <a:pt x="15" y="150"/>
                </a:cubicBezTo>
                <a:cubicBezTo>
                  <a:pt x="15" y="150"/>
                  <a:pt x="15" y="150"/>
                  <a:pt x="15" y="150"/>
                </a:cubicBezTo>
                <a:cubicBezTo>
                  <a:pt x="16" y="151"/>
                  <a:pt x="16" y="151"/>
                  <a:pt x="16" y="151"/>
                </a:cubicBezTo>
                <a:cubicBezTo>
                  <a:pt x="16" y="151"/>
                  <a:pt x="16" y="151"/>
                  <a:pt x="16" y="151"/>
                </a:cubicBezTo>
                <a:cubicBezTo>
                  <a:pt x="16" y="152"/>
                  <a:pt x="16" y="152"/>
                  <a:pt x="17" y="152"/>
                </a:cubicBezTo>
                <a:cubicBezTo>
                  <a:pt x="17" y="153"/>
                  <a:pt x="17" y="153"/>
                  <a:pt x="17" y="153"/>
                </a:cubicBezTo>
                <a:cubicBezTo>
                  <a:pt x="17" y="153"/>
                  <a:pt x="17" y="153"/>
                  <a:pt x="18" y="153"/>
                </a:cubicBezTo>
                <a:cubicBezTo>
                  <a:pt x="18" y="154"/>
                  <a:pt x="18" y="154"/>
                  <a:pt x="18" y="154"/>
                </a:cubicBezTo>
                <a:cubicBezTo>
                  <a:pt x="18" y="154"/>
                  <a:pt x="19" y="154"/>
                  <a:pt x="19" y="155"/>
                </a:cubicBezTo>
                <a:cubicBezTo>
                  <a:pt x="19" y="155"/>
                  <a:pt x="19" y="155"/>
                  <a:pt x="19" y="155"/>
                </a:cubicBezTo>
                <a:cubicBezTo>
                  <a:pt x="19" y="155"/>
                  <a:pt x="20" y="156"/>
                  <a:pt x="20" y="156"/>
                </a:cubicBezTo>
                <a:cubicBezTo>
                  <a:pt x="21" y="156"/>
                  <a:pt x="21" y="156"/>
                  <a:pt x="21" y="156"/>
                </a:cubicBezTo>
                <a:cubicBezTo>
                  <a:pt x="21" y="156"/>
                  <a:pt x="21" y="157"/>
                  <a:pt x="21" y="157"/>
                </a:cubicBezTo>
                <a:cubicBezTo>
                  <a:pt x="22" y="157"/>
                  <a:pt x="22" y="157"/>
                  <a:pt x="22" y="157"/>
                </a:cubicBezTo>
                <a:cubicBezTo>
                  <a:pt x="22" y="158"/>
                  <a:pt x="22" y="158"/>
                  <a:pt x="22" y="158"/>
                </a:cubicBezTo>
                <a:cubicBezTo>
                  <a:pt x="23" y="158"/>
                  <a:pt x="23" y="158"/>
                  <a:pt x="23" y="158"/>
                </a:cubicBezTo>
                <a:cubicBezTo>
                  <a:pt x="24" y="159"/>
                  <a:pt x="24" y="159"/>
                  <a:pt x="24" y="159"/>
                </a:cubicBezTo>
                <a:cubicBezTo>
                  <a:pt x="24" y="160"/>
                  <a:pt x="24" y="160"/>
                  <a:pt x="24" y="160"/>
                </a:cubicBezTo>
                <a:cubicBezTo>
                  <a:pt x="25" y="160"/>
                  <a:pt x="25" y="160"/>
                  <a:pt x="25" y="160"/>
                </a:cubicBezTo>
                <a:cubicBezTo>
                  <a:pt x="25" y="160"/>
                  <a:pt x="25" y="160"/>
                  <a:pt x="25" y="160"/>
                </a:cubicBezTo>
                <a:cubicBezTo>
                  <a:pt x="26" y="161"/>
                  <a:pt x="26" y="161"/>
                  <a:pt x="26" y="161"/>
                </a:cubicBezTo>
                <a:cubicBezTo>
                  <a:pt x="26" y="161"/>
                  <a:pt x="26" y="161"/>
                  <a:pt x="26" y="161"/>
                </a:cubicBezTo>
                <a:cubicBezTo>
                  <a:pt x="27" y="162"/>
                  <a:pt x="27" y="162"/>
                  <a:pt x="27" y="162"/>
                </a:cubicBezTo>
                <a:cubicBezTo>
                  <a:pt x="28" y="162"/>
                  <a:pt x="28" y="162"/>
                  <a:pt x="28" y="162"/>
                </a:cubicBezTo>
                <a:cubicBezTo>
                  <a:pt x="28" y="163"/>
                  <a:pt x="28" y="163"/>
                  <a:pt x="29" y="163"/>
                </a:cubicBezTo>
                <a:cubicBezTo>
                  <a:pt x="29" y="163"/>
                  <a:pt x="29" y="163"/>
                  <a:pt x="29" y="163"/>
                </a:cubicBezTo>
                <a:cubicBezTo>
                  <a:pt x="29" y="164"/>
                  <a:pt x="30" y="164"/>
                  <a:pt x="30" y="164"/>
                </a:cubicBezTo>
                <a:cubicBezTo>
                  <a:pt x="31" y="164"/>
                  <a:pt x="31" y="164"/>
                  <a:pt x="31" y="164"/>
                </a:cubicBezTo>
                <a:cubicBezTo>
                  <a:pt x="31" y="165"/>
                  <a:pt x="31" y="165"/>
                  <a:pt x="32" y="165"/>
                </a:cubicBezTo>
                <a:cubicBezTo>
                  <a:pt x="32" y="165"/>
                  <a:pt x="32" y="165"/>
                  <a:pt x="32" y="165"/>
                </a:cubicBezTo>
                <a:cubicBezTo>
                  <a:pt x="32" y="166"/>
                  <a:pt x="33" y="166"/>
                  <a:pt x="33" y="166"/>
                </a:cubicBezTo>
                <a:cubicBezTo>
                  <a:pt x="33" y="166"/>
                  <a:pt x="33" y="166"/>
                  <a:pt x="33" y="166"/>
                </a:cubicBezTo>
                <a:cubicBezTo>
                  <a:pt x="34" y="167"/>
                  <a:pt x="34" y="167"/>
                  <a:pt x="34" y="167"/>
                </a:cubicBezTo>
                <a:cubicBezTo>
                  <a:pt x="35" y="167"/>
                  <a:pt x="35" y="167"/>
                  <a:pt x="35" y="167"/>
                </a:cubicBezTo>
                <a:cubicBezTo>
                  <a:pt x="36" y="167"/>
                  <a:pt x="36" y="167"/>
                  <a:pt x="36" y="167"/>
                </a:cubicBezTo>
                <a:cubicBezTo>
                  <a:pt x="36" y="168"/>
                  <a:pt x="36" y="168"/>
                  <a:pt x="36" y="168"/>
                </a:cubicBezTo>
                <a:cubicBezTo>
                  <a:pt x="36" y="168"/>
                  <a:pt x="37" y="168"/>
                  <a:pt x="37" y="168"/>
                </a:cubicBezTo>
                <a:cubicBezTo>
                  <a:pt x="38" y="169"/>
                  <a:pt x="38" y="169"/>
                  <a:pt x="38" y="169"/>
                </a:cubicBezTo>
                <a:cubicBezTo>
                  <a:pt x="38" y="169"/>
                  <a:pt x="38" y="169"/>
                  <a:pt x="38" y="169"/>
                </a:cubicBezTo>
                <a:cubicBezTo>
                  <a:pt x="39" y="169"/>
                  <a:pt x="39" y="169"/>
                  <a:pt x="39" y="169"/>
                </a:cubicBezTo>
                <a:cubicBezTo>
                  <a:pt x="39" y="169"/>
                  <a:pt x="40" y="170"/>
                  <a:pt x="40" y="170"/>
                </a:cubicBezTo>
                <a:cubicBezTo>
                  <a:pt x="40" y="170"/>
                  <a:pt x="40" y="170"/>
                  <a:pt x="40" y="170"/>
                </a:cubicBezTo>
                <a:cubicBezTo>
                  <a:pt x="41" y="170"/>
                  <a:pt x="41" y="170"/>
                  <a:pt x="42" y="171"/>
                </a:cubicBezTo>
                <a:cubicBezTo>
                  <a:pt x="42" y="171"/>
                  <a:pt x="42" y="171"/>
                  <a:pt x="42" y="171"/>
                </a:cubicBezTo>
                <a:cubicBezTo>
                  <a:pt x="43" y="171"/>
                  <a:pt x="43" y="171"/>
                  <a:pt x="43" y="171"/>
                </a:cubicBezTo>
                <a:cubicBezTo>
                  <a:pt x="44" y="171"/>
                  <a:pt x="44" y="171"/>
                  <a:pt x="44" y="171"/>
                </a:cubicBezTo>
                <a:cubicBezTo>
                  <a:pt x="44" y="171"/>
                  <a:pt x="44" y="172"/>
                  <a:pt x="45" y="172"/>
                </a:cubicBezTo>
                <a:cubicBezTo>
                  <a:pt x="45" y="172"/>
                  <a:pt x="45" y="172"/>
                  <a:pt x="45" y="172"/>
                </a:cubicBezTo>
                <a:cubicBezTo>
                  <a:pt x="46" y="172"/>
                  <a:pt x="46" y="172"/>
                  <a:pt x="46" y="172"/>
                </a:cubicBezTo>
                <a:cubicBezTo>
                  <a:pt x="47" y="172"/>
                  <a:pt x="47" y="172"/>
                  <a:pt x="47" y="172"/>
                </a:cubicBezTo>
                <a:cubicBezTo>
                  <a:pt x="47" y="172"/>
                  <a:pt x="47" y="173"/>
                  <a:pt x="48" y="173"/>
                </a:cubicBezTo>
                <a:cubicBezTo>
                  <a:pt x="48" y="173"/>
                  <a:pt x="48" y="173"/>
                  <a:pt x="48" y="173"/>
                </a:cubicBezTo>
                <a:cubicBezTo>
                  <a:pt x="49" y="173"/>
                  <a:pt x="49" y="173"/>
                  <a:pt x="49" y="173"/>
                </a:cubicBezTo>
                <a:cubicBezTo>
                  <a:pt x="50" y="173"/>
                  <a:pt x="50" y="173"/>
                  <a:pt x="50" y="173"/>
                </a:cubicBezTo>
                <a:cubicBezTo>
                  <a:pt x="50" y="173"/>
                  <a:pt x="51" y="174"/>
                  <a:pt x="51" y="174"/>
                </a:cubicBezTo>
                <a:cubicBezTo>
                  <a:pt x="51" y="174"/>
                  <a:pt x="51" y="174"/>
                  <a:pt x="51" y="174"/>
                </a:cubicBezTo>
                <a:cubicBezTo>
                  <a:pt x="52" y="174"/>
                  <a:pt x="52" y="174"/>
                  <a:pt x="53" y="174"/>
                </a:cubicBezTo>
                <a:cubicBezTo>
                  <a:pt x="53" y="174"/>
                  <a:pt x="53" y="174"/>
                  <a:pt x="53" y="174"/>
                </a:cubicBezTo>
                <a:cubicBezTo>
                  <a:pt x="54" y="174"/>
                  <a:pt x="54" y="174"/>
                  <a:pt x="55" y="174"/>
                </a:cubicBezTo>
                <a:cubicBezTo>
                  <a:pt x="55" y="175"/>
                  <a:pt x="55" y="175"/>
                  <a:pt x="55" y="175"/>
                </a:cubicBezTo>
                <a:cubicBezTo>
                  <a:pt x="55" y="175"/>
                  <a:pt x="56" y="175"/>
                  <a:pt x="56" y="175"/>
                </a:cubicBezTo>
                <a:cubicBezTo>
                  <a:pt x="56" y="175"/>
                  <a:pt x="56" y="175"/>
                  <a:pt x="56" y="175"/>
                </a:cubicBezTo>
                <a:cubicBezTo>
                  <a:pt x="56" y="175"/>
                  <a:pt x="56" y="175"/>
                  <a:pt x="56" y="175"/>
                </a:cubicBezTo>
                <a:cubicBezTo>
                  <a:pt x="57" y="175"/>
                  <a:pt x="59" y="175"/>
                  <a:pt x="60" y="175"/>
                </a:cubicBezTo>
                <a:cubicBezTo>
                  <a:pt x="60" y="175"/>
                  <a:pt x="61" y="175"/>
                  <a:pt x="61" y="176"/>
                </a:cubicBezTo>
                <a:cubicBezTo>
                  <a:pt x="61" y="176"/>
                  <a:pt x="61" y="176"/>
                  <a:pt x="61" y="176"/>
                </a:cubicBezTo>
                <a:cubicBezTo>
                  <a:pt x="62" y="176"/>
                  <a:pt x="63" y="176"/>
                  <a:pt x="63" y="176"/>
                </a:cubicBezTo>
                <a:cubicBezTo>
                  <a:pt x="64" y="176"/>
                  <a:pt x="64" y="176"/>
                  <a:pt x="65" y="176"/>
                </a:cubicBezTo>
                <a:cubicBezTo>
                  <a:pt x="65" y="176"/>
                  <a:pt x="66" y="176"/>
                  <a:pt x="67" y="176"/>
                </a:cubicBezTo>
                <a:cubicBezTo>
                  <a:pt x="67" y="176"/>
                  <a:pt x="68" y="176"/>
                  <a:pt x="68" y="176"/>
                </a:cubicBezTo>
                <a:cubicBezTo>
                  <a:pt x="73" y="176"/>
                  <a:pt x="73" y="176"/>
                  <a:pt x="73" y="176"/>
                </a:cubicBezTo>
                <a:cubicBezTo>
                  <a:pt x="100" y="176"/>
                  <a:pt x="100" y="176"/>
                  <a:pt x="100" y="176"/>
                </a:cubicBezTo>
                <a:cubicBezTo>
                  <a:pt x="100" y="149"/>
                  <a:pt x="100" y="149"/>
                  <a:pt x="100" y="149"/>
                </a:cubicBezTo>
                <a:cubicBezTo>
                  <a:pt x="73" y="149"/>
                  <a:pt x="73" y="149"/>
                  <a:pt x="73" y="149"/>
                </a:cubicBezTo>
                <a:cubicBezTo>
                  <a:pt x="68" y="149"/>
                  <a:pt x="68" y="149"/>
                  <a:pt x="68" y="149"/>
                </a:cubicBezTo>
                <a:cubicBezTo>
                  <a:pt x="46" y="149"/>
                  <a:pt x="28" y="130"/>
                  <a:pt x="28" y="108"/>
                </a:cubicBezTo>
                <a:close/>
              </a:path>
            </a:pathLst>
          </a:custGeom>
          <a:solidFill>
            <a:srgbClr val="0071B1"/>
          </a:solidFill>
          <a:ln w="0" cap="flat" cmpd="sng">
            <a:noFill/>
            <a:prstDash/>
          </a:ln>
        </xdr:spPr>
      </xdr:sp>
      <xdr:sp macro="" textlink="">
        <xdr:nvSpPr>
          <xdr:cNvPr id="32" name="Freeform 33">
            <a:extLst>
              <a:ext uri="{FF2B5EF4-FFF2-40B4-BE49-F238E27FC236}">
                <a16:creationId xmlns="" xmlns:a16="http://schemas.microsoft.com/office/drawing/2014/main" id="{00000000-0008-0000-0B00-000020000000}"/>
              </a:ext>
            </a:extLst>
          </xdr:cNvPr>
          <xdr:cNvSpPr>
            <a:spLocks/>
          </xdr:cNvSpPr>
        </xdr:nvSpPr>
        <xdr:spPr>
          <a:xfrm>
            <a:off x="0" y="0"/>
            <a:ext cx="0" cy="0"/>
          </a:xfrm>
          <a:custGeom>
            <a:avLst/>
            <a:gdLst/>
            <a:ahLst/>
            <a:cxnLst/>
            <a:rect l="0" t="0" r="0" b="0"/>
            <a:pathLst>
              <a:path w="46" h="32">
                <a:moveTo>
                  <a:pt x="28" y="5"/>
                </a:moveTo>
                <a:cubicBezTo>
                  <a:pt x="28" y="0"/>
                  <a:pt x="28" y="0"/>
                  <a:pt x="28" y="0"/>
                </a:cubicBezTo>
                <a:cubicBezTo>
                  <a:pt x="25" y="2"/>
                  <a:pt x="22" y="3"/>
                  <a:pt x="18" y="5"/>
                </a:cubicBezTo>
                <a:cubicBezTo>
                  <a:pt x="13" y="7"/>
                  <a:pt x="8" y="8"/>
                  <a:pt x="2" y="8"/>
                </a:cubicBezTo>
                <a:cubicBezTo>
                  <a:pt x="2" y="8"/>
                  <a:pt x="1" y="8"/>
                  <a:pt x="0" y="8"/>
                </a:cubicBezTo>
                <a:cubicBezTo>
                  <a:pt x="0" y="32"/>
                  <a:pt x="0" y="32"/>
                  <a:pt x="0" y="32"/>
                </a:cubicBezTo>
                <a:cubicBezTo>
                  <a:pt x="28" y="32"/>
                  <a:pt x="28" y="32"/>
                  <a:pt x="28" y="32"/>
                </a:cubicBezTo>
                <a:cubicBezTo>
                  <a:pt x="46" y="32"/>
                  <a:pt x="46" y="32"/>
                  <a:pt x="46" y="32"/>
                </a:cubicBezTo>
                <a:cubicBezTo>
                  <a:pt x="46" y="24"/>
                  <a:pt x="46" y="24"/>
                  <a:pt x="46" y="24"/>
                </a:cubicBezTo>
                <a:cubicBezTo>
                  <a:pt x="28" y="24"/>
                  <a:pt x="28" y="24"/>
                  <a:pt x="28" y="24"/>
                </a:cubicBezTo>
                <a:lnTo>
                  <a:pt x="28" y="5"/>
                </a:lnTo>
                <a:close/>
              </a:path>
            </a:pathLst>
          </a:custGeom>
          <a:solidFill>
            <a:srgbClr val="0071B1"/>
          </a:solidFill>
          <a:ln w="0" cap="flat" cmpd="sng">
            <a:noFill/>
            <a:prstDash/>
          </a:ln>
        </xdr:spPr>
      </xdr:sp>
    </xdr:grpSp>
    <xdr:clientData/>
  </xdr:twoCellAnchor>
  <xdr:twoCellAnchor editAs="oneCell">
    <xdr:from>
      <xdr:col>7</xdr:col>
      <xdr:colOff>796925</xdr:colOff>
      <xdr:row>0</xdr:row>
      <xdr:rowOff>0</xdr:rowOff>
    </xdr:from>
    <xdr:to>
      <xdr:col>9</xdr:col>
      <xdr:colOff>1628140</xdr:colOff>
      <xdr:row>0</xdr:row>
      <xdr:rowOff>1524000</xdr:rowOff>
    </xdr:to>
    <xdr:pic>
      <xdr:nvPicPr>
        <xdr:cNvPr id="34" name="Picture 33" descr="xl/media/image9.png">
          <a:extLst>
            <a:ext uri="{FF2B5EF4-FFF2-40B4-BE49-F238E27FC236}">
              <a16:creationId xmlns="" xmlns:a16="http://schemas.microsoft.com/office/drawing/2014/main" id="{00000000-0008-0000-0B00-00002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a:xfrm>
          <a:off x="15828010" y="0"/>
          <a:ext cx="4003040" cy="1524000"/>
        </a:xfrm>
        <a:prstGeom prst="rect">
          <a:avLst/>
        </a:prstGeom>
        <a:noFill/>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0</xdr:colOff>
      <xdr:row>0</xdr:row>
      <xdr:rowOff>467359</xdr:rowOff>
    </xdr:from>
    <xdr:to>
      <xdr:col>3</xdr:col>
      <xdr:colOff>730250</xdr:colOff>
      <xdr:row>0</xdr:row>
      <xdr:rowOff>1510030</xdr:rowOff>
    </xdr:to>
    <xdr:pic>
      <xdr:nvPicPr>
        <xdr:cNvPr id="2" name="Picture 4" descr="xl/media/image1.jpeg">
          <a:extLst>
            <a:ext uri="{FF2B5EF4-FFF2-40B4-BE49-F238E27FC236}">
              <a16:creationId xmlns="" xmlns:a16="http://schemas.microsoft.com/office/drawing/2014/main" id="{00000000-0008-0000-0C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0" y="405130"/>
          <a:ext cx="7702550" cy="1042670"/>
        </a:xfrm>
        <a:prstGeom prst="rect">
          <a:avLst/>
        </a:prstGeom>
        <a:noFill/>
        <a:ln w="0" cap="flat" cmpd="sng">
          <a:noFill/>
          <a:prstDash/>
        </a:ln>
      </xdr:spPr>
    </xdr:pic>
    <xdr:clientData/>
  </xdr:twoCellAnchor>
  <xdr:twoCellAnchor editAs="oneCell">
    <xdr:from>
      <xdr:col>9</xdr:col>
      <xdr:colOff>509270</xdr:colOff>
      <xdr:row>0</xdr:row>
      <xdr:rowOff>0</xdr:rowOff>
    </xdr:from>
    <xdr:to>
      <xdr:col>13</xdr:col>
      <xdr:colOff>2597785</xdr:colOff>
      <xdr:row>0</xdr:row>
      <xdr:rowOff>2390140</xdr:rowOff>
    </xdr:to>
    <xdr:pic>
      <xdr:nvPicPr>
        <xdr:cNvPr id="8" name="Picture 7" descr="xl/media/image20.png">
          <a:extLst>
            <a:ext uri="{FF2B5EF4-FFF2-40B4-BE49-F238E27FC236}">
              <a16:creationId xmlns="" xmlns:a16="http://schemas.microsoft.com/office/drawing/2014/main" id="{00000000-0008-0000-0C00-000008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a:xfrm>
          <a:off x="13682980" y="0"/>
          <a:ext cx="6441440" cy="2390140"/>
        </a:xfrm>
        <a:prstGeom prst="rect">
          <a:avLst/>
        </a:prstGeom>
        <a:noFill/>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0</xdr:row>
      <xdr:rowOff>549275</xdr:rowOff>
    </xdr:from>
    <xdr:to>
      <xdr:col>3</xdr:col>
      <xdr:colOff>816610</xdr:colOff>
      <xdr:row>0</xdr:row>
      <xdr:rowOff>1755140</xdr:rowOff>
    </xdr:to>
    <xdr:pic>
      <xdr:nvPicPr>
        <xdr:cNvPr id="2" name="Picture 4" descr="xl/media/image1.jpeg">
          <a:extLst>
            <a:ext uri="{FF2B5EF4-FFF2-40B4-BE49-F238E27FC236}">
              <a16:creationId xmlns="" xmlns:a16="http://schemas.microsoft.com/office/drawing/2014/main" id="{00000000-0008-0000-0D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0" y="487045"/>
          <a:ext cx="7788910" cy="1205865"/>
        </a:xfrm>
        <a:prstGeom prst="rect">
          <a:avLst/>
        </a:prstGeom>
        <a:noFill/>
        <a:ln w="0" cap="flat" cmpd="sng">
          <a:noFill/>
          <a:prstDash/>
        </a:ln>
      </xdr:spPr>
    </xdr:pic>
    <xdr:clientData/>
  </xdr:twoCellAnchor>
  <xdr:twoCellAnchor>
    <xdr:from>
      <xdr:col>1</xdr:col>
      <xdr:colOff>828040</xdr:colOff>
      <xdr:row>100</xdr:row>
      <xdr:rowOff>193040</xdr:rowOff>
    </xdr:from>
    <xdr:to>
      <xdr:col>1</xdr:col>
      <xdr:colOff>2310765</xdr:colOff>
      <xdr:row>102</xdr:row>
      <xdr:rowOff>269875</xdr:rowOff>
    </xdr:to>
    <xdr:pic>
      <xdr:nvPicPr>
        <xdr:cNvPr id="3" name="Picture 1" descr="xl/media/image4.png">
          <a:extLst>
            <a:ext uri="{FF2B5EF4-FFF2-40B4-BE49-F238E27FC236}">
              <a16:creationId xmlns="" xmlns:a16="http://schemas.microsoft.com/office/drawing/2014/main" id="{00000000-0008-0000-0D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a:xfrm>
          <a:off x="1685925" y="65196084"/>
          <a:ext cx="1482725" cy="400686"/>
        </a:xfrm>
        <a:prstGeom prst="rect">
          <a:avLst/>
        </a:prstGeom>
        <a:noFill/>
        <a:ln w="0" cap="flat" cmpd="sng">
          <a:noFill/>
          <a:prstDash/>
        </a:ln>
      </xdr:spPr>
    </xdr:pic>
    <xdr:clientData/>
  </xdr:twoCellAnchor>
  <xdr:twoCellAnchor editAs="oneCell">
    <xdr:from>
      <xdr:col>0</xdr:col>
      <xdr:colOff>0</xdr:colOff>
      <xdr:row>100</xdr:row>
      <xdr:rowOff>121285</xdr:rowOff>
    </xdr:from>
    <xdr:to>
      <xdr:col>1</xdr:col>
      <xdr:colOff>448945</xdr:colOff>
      <xdr:row>102</xdr:row>
      <xdr:rowOff>125095</xdr:rowOff>
    </xdr:to>
    <xdr:pic>
      <xdr:nvPicPr>
        <xdr:cNvPr id="4" name="Picture 3" descr="xl/media/image8.PNG">
          <a:extLst>
            <a:ext uri="{FF2B5EF4-FFF2-40B4-BE49-F238E27FC236}">
              <a16:creationId xmlns="" xmlns:a16="http://schemas.microsoft.com/office/drawing/2014/main" id="{00000000-0008-0000-0D00-000004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a:xfrm>
          <a:off x="0" y="65124330"/>
          <a:ext cx="1372870" cy="327660"/>
        </a:xfrm>
        <a:prstGeom prst="rect">
          <a:avLst/>
        </a:prstGeom>
        <a:noFill/>
      </xdr:spPr>
    </xdr:pic>
    <xdr:clientData/>
  </xdr:twoCellAnchor>
  <xdr:twoCellAnchor editAs="oneCell">
    <xdr:from>
      <xdr:col>0</xdr:col>
      <xdr:colOff>0</xdr:colOff>
      <xdr:row>96</xdr:row>
      <xdr:rowOff>0</xdr:rowOff>
    </xdr:from>
    <xdr:to>
      <xdr:col>13</xdr:col>
      <xdr:colOff>325120</xdr:colOff>
      <xdr:row>111</xdr:row>
      <xdr:rowOff>123824</xdr:rowOff>
    </xdr:to>
    <xdr:pic>
      <xdr:nvPicPr>
        <xdr:cNvPr id="5" name="Picture 4" descr="xl/media/image3.PNG">
          <a:extLst>
            <a:ext uri="{FF2B5EF4-FFF2-40B4-BE49-F238E27FC236}">
              <a16:creationId xmlns="" xmlns:a16="http://schemas.microsoft.com/office/drawing/2014/main" id="{00000000-0008-0000-0D00-000005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a:xfrm>
          <a:off x="0" y="64355345"/>
          <a:ext cx="19803745" cy="2562224"/>
        </a:xfrm>
        <a:prstGeom prst="rect">
          <a:avLst/>
        </a:prstGeom>
        <a:noFill/>
      </xdr:spPr>
    </xdr:pic>
    <xdr:clientData/>
  </xdr:twoCellAnchor>
  <xdr:twoCellAnchor>
    <xdr:from>
      <xdr:col>1</xdr:col>
      <xdr:colOff>2197735</xdr:colOff>
      <xdr:row>99</xdr:row>
      <xdr:rowOff>168275</xdr:rowOff>
    </xdr:from>
    <xdr:to>
      <xdr:col>1</xdr:col>
      <xdr:colOff>3680460</xdr:colOff>
      <xdr:row>101</xdr:row>
      <xdr:rowOff>245110</xdr:rowOff>
    </xdr:to>
    <xdr:pic>
      <xdr:nvPicPr>
        <xdr:cNvPr id="6" name="Picture 1" descr="xl/media/image4.png">
          <a:extLst>
            <a:ext uri="{FF2B5EF4-FFF2-40B4-BE49-F238E27FC236}">
              <a16:creationId xmlns="" xmlns:a16="http://schemas.microsoft.com/office/drawing/2014/main" id="{00000000-0008-0000-0D00-000006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a:xfrm>
          <a:off x="3055620" y="65009394"/>
          <a:ext cx="1482725" cy="400686"/>
        </a:xfrm>
        <a:prstGeom prst="rect">
          <a:avLst/>
        </a:prstGeom>
        <a:noFill/>
        <a:ln w="0" cap="flat" cmpd="sng">
          <a:noFill/>
          <a:prstDash/>
        </a:ln>
      </xdr:spPr>
    </xdr:pic>
    <xdr:clientData/>
  </xdr:twoCellAnchor>
  <xdr:twoCellAnchor editAs="oneCell">
    <xdr:from>
      <xdr:col>0</xdr:col>
      <xdr:colOff>490855</xdr:colOff>
      <xdr:row>100</xdr:row>
      <xdr:rowOff>26035</xdr:rowOff>
    </xdr:from>
    <xdr:to>
      <xdr:col>1</xdr:col>
      <xdr:colOff>748665</xdr:colOff>
      <xdr:row>103</xdr:row>
      <xdr:rowOff>115570</xdr:rowOff>
    </xdr:to>
    <xdr:pic>
      <xdr:nvPicPr>
        <xdr:cNvPr id="7" name="Picture 6" descr="xl/media/image8.PNG">
          <a:extLst>
            <a:ext uri="{FF2B5EF4-FFF2-40B4-BE49-F238E27FC236}">
              <a16:creationId xmlns="" xmlns:a16="http://schemas.microsoft.com/office/drawing/2014/main" id="{00000000-0008-0000-0D00-000007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a:xfrm>
          <a:off x="424815" y="65029079"/>
          <a:ext cx="1181735" cy="575311"/>
        </a:xfrm>
        <a:prstGeom prst="rect">
          <a:avLst/>
        </a:prstGeom>
        <a:noFill/>
      </xdr:spPr>
    </xdr:pic>
    <xdr:clientData/>
  </xdr:twoCellAnchor>
  <xdr:twoCellAnchor editAs="oneCell">
    <xdr:from>
      <xdr:col>8</xdr:col>
      <xdr:colOff>544195</xdr:colOff>
      <xdr:row>0</xdr:row>
      <xdr:rowOff>0</xdr:rowOff>
    </xdr:from>
    <xdr:to>
      <xdr:col>12</xdr:col>
      <xdr:colOff>2273935</xdr:colOff>
      <xdr:row>0</xdr:row>
      <xdr:rowOff>2216785</xdr:rowOff>
    </xdr:to>
    <xdr:pic>
      <xdr:nvPicPr>
        <xdr:cNvPr id="8" name="Picture 7" descr="xl/media/image21.png">
          <a:extLst>
            <a:ext uri="{FF2B5EF4-FFF2-40B4-BE49-F238E27FC236}">
              <a16:creationId xmlns="" xmlns:a16="http://schemas.microsoft.com/office/drawing/2014/main" id="{00000000-0008-0000-0D00-000008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a:xfrm>
          <a:off x="12755880" y="0"/>
          <a:ext cx="6216015" cy="2216785"/>
        </a:xfrm>
        <a:prstGeom prst="rect">
          <a:avLst/>
        </a:prstGeom>
        <a:noFill/>
      </xdr:spPr>
    </xdr:pic>
    <xdr:clientData/>
  </xdr:twoCellAnchor>
  <xdr:twoCellAnchor>
    <xdr:from>
      <xdr:col>0</xdr:col>
      <xdr:colOff>1017270</xdr:colOff>
      <xdr:row>63</xdr:row>
      <xdr:rowOff>191770</xdr:rowOff>
    </xdr:from>
    <xdr:to>
      <xdr:col>0</xdr:col>
      <xdr:colOff>3068320</xdr:colOff>
      <xdr:row>66</xdr:row>
      <xdr:rowOff>191770</xdr:rowOff>
    </xdr:to>
    <xdr:pic>
      <xdr:nvPicPr>
        <xdr:cNvPr id="9" name="Picture 8" descr="xl/media/image10.png">
          <a:extLst>
            <a:ext uri="{FF2B5EF4-FFF2-40B4-BE49-F238E27FC236}">
              <a16:creationId xmlns="" xmlns:a16="http://schemas.microsoft.com/office/drawing/2014/main" id="{00000000-0008-0000-0D00-000009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a:xfrm>
          <a:off x="951230" y="43754040"/>
          <a:ext cx="2051050" cy="2400300"/>
        </a:xfrm>
        <a:prstGeom prst="rect">
          <a:avLst/>
        </a:prstGeom>
        <a:noFill/>
        <a:ln w="0" cap="flat" cmpd="sng">
          <a:noFill/>
          <a:prstDash/>
        </a:ln>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0</xdr:colOff>
      <xdr:row>0</xdr:row>
      <xdr:rowOff>549275</xdr:rowOff>
    </xdr:from>
    <xdr:to>
      <xdr:col>3</xdr:col>
      <xdr:colOff>254000</xdr:colOff>
      <xdr:row>0</xdr:row>
      <xdr:rowOff>2026285</xdr:rowOff>
    </xdr:to>
    <xdr:pic>
      <xdr:nvPicPr>
        <xdr:cNvPr id="2" name="Picture 4" descr="xl/media/image1.jpeg">
          <a:extLst>
            <a:ext uri="{FF2B5EF4-FFF2-40B4-BE49-F238E27FC236}">
              <a16:creationId xmlns="" xmlns:a16="http://schemas.microsoft.com/office/drawing/2014/main" id="{00000000-0008-0000-0E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0" y="487045"/>
          <a:ext cx="7226300" cy="1477010"/>
        </a:xfrm>
        <a:prstGeom prst="rect">
          <a:avLst/>
        </a:prstGeom>
        <a:noFill/>
        <a:ln w="0" cap="flat" cmpd="sng">
          <a:noFill/>
          <a:prstDash/>
        </a:ln>
      </xdr:spPr>
    </xdr:pic>
    <xdr:clientData/>
  </xdr:twoCellAnchor>
  <xdr:twoCellAnchor editAs="oneCell">
    <xdr:from>
      <xdr:col>0</xdr:col>
      <xdr:colOff>0</xdr:colOff>
      <xdr:row>317</xdr:row>
      <xdr:rowOff>26035</xdr:rowOff>
    </xdr:from>
    <xdr:to>
      <xdr:col>13</xdr:col>
      <xdr:colOff>285750</xdr:colOff>
      <xdr:row>337</xdr:row>
      <xdr:rowOff>31750</xdr:rowOff>
    </xdr:to>
    <xdr:pic>
      <xdr:nvPicPr>
        <xdr:cNvPr id="5" name="Picture 4" descr="xl/media/image3.PNG">
          <a:extLst>
            <a:ext uri="{FF2B5EF4-FFF2-40B4-BE49-F238E27FC236}">
              <a16:creationId xmlns="" xmlns:a16="http://schemas.microsoft.com/office/drawing/2014/main" id="{00000000-0008-0000-0E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a:xfrm>
          <a:off x="0" y="81783555"/>
          <a:ext cx="19678650" cy="3244215"/>
        </a:xfrm>
        <a:prstGeom prst="rect">
          <a:avLst/>
        </a:prstGeom>
        <a:noFill/>
      </xdr:spPr>
    </xdr:pic>
    <xdr:clientData/>
  </xdr:twoCellAnchor>
  <xdr:twoCellAnchor editAs="oneCell">
    <xdr:from>
      <xdr:col>10</xdr:col>
      <xdr:colOff>1195070</xdr:colOff>
      <xdr:row>0</xdr:row>
      <xdr:rowOff>0</xdr:rowOff>
    </xdr:from>
    <xdr:to>
      <xdr:col>12</xdr:col>
      <xdr:colOff>2597785</xdr:colOff>
      <xdr:row>1</xdr:row>
      <xdr:rowOff>20955</xdr:rowOff>
    </xdr:to>
    <xdr:pic>
      <xdr:nvPicPr>
        <xdr:cNvPr id="8" name="Picture 7" descr="xl/media/image22.png">
          <a:extLst>
            <a:ext uri="{FF2B5EF4-FFF2-40B4-BE49-F238E27FC236}">
              <a16:creationId xmlns="" xmlns:a16="http://schemas.microsoft.com/office/drawing/2014/main" id="{00000000-0008-0000-0E00-000008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a:xfrm>
          <a:off x="14454505" y="0"/>
          <a:ext cx="4755515" cy="2506980"/>
        </a:xfrm>
        <a:prstGeom prst="rect">
          <a:avLst/>
        </a:prstGeom>
        <a:noFill/>
      </xdr:spPr>
    </xdr:pic>
    <xdr:clientData/>
  </xdr:twoCellAnchor>
  <xdr:twoCellAnchor>
    <xdr:from>
      <xdr:col>1</xdr:col>
      <xdr:colOff>2388870</xdr:colOff>
      <xdr:row>69</xdr:row>
      <xdr:rowOff>26035</xdr:rowOff>
    </xdr:from>
    <xdr:to>
      <xdr:col>1</xdr:col>
      <xdr:colOff>3872230</xdr:colOff>
      <xdr:row>71</xdr:row>
      <xdr:rowOff>85725</xdr:rowOff>
    </xdr:to>
    <xdr:pic>
      <xdr:nvPicPr>
        <xdr:cNvPr id="9" name="Picture 1" descr="xl/media/image4.png">
          <a:extLst>
            <a:ext uri="{FF2B5EF4-FFF2-40B4-BE49-F238E27FC236}">
              <a16:creationId xmlns="" xmlns:a16="http://schemas.microsoft.com/office/drawing/2014/main" id="{00000000-0008-0000-0E00-000009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a:xfrm>
          <a:off x="3246755" y="41626155"/>
          <a:ext cx="1483360" cy="383540"/>
        </a:xfrm>
        <a:prstGeom prst="rect">
          <a:avLst/>
        </a:prstGeom>
        <a:noFill/>
        <a:ln w="0" cap="flat" cmpd="sng">
          <a:noFill/>
          <a:prstDash/>
        </a:ln>
      </xdr:spPr>
    </xdr:pic>
    <xdr:clientData/>
  </xdr:twoCellAnchor>
  <xdr:twoCellAnchor editAs="oneCell">
    <xdr:from>
      <xdr:col>1</xdr:col>
      <xdr:colOff>13335</xdr:colOff>
      <xdr:row>67</xdr:row>
      <xdr:rowOff>69215</xdr:rowOff>
    </xdr:from>
    <xdr:to>
      <xdr:col>1</xdr:col>
      <xdr:colOff>1151255</xdr:colOff>
      <xdr:row>72</xdr:row>
      <xdr:rowOff>61595</xdr:rowOff>
    </xdr:to>
    <xdr:pic>
      <xdr:nvPicPr>
        <xdr:cNvPr id="10" name="Picture 9" descr="xl/media/image8.PNG">
          <a:extLst>
            <a:ext uri="{FF2B5EF4-FFF2-40B4-BE49-F238E27FC236}">
              <a16:creationId xmlns="" xmlns:a16="http://schemas.microsoft.com/office/drawing/2014/main" id="{00000000-0008-0000-0E00-00000A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a:xfrm>
          <a:off x="871220" y="41335960"/>
          <a:ext cx="1137920" cy="811530"/>
        </a:xfrm>
        <a:prstGeom prst="rect">
          <a:avLst/>
        </a:prstGeom>
        <a:noFill/>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239395</xdr:colOff>
      <xdr:row>0</xdr:row>
      <xdr:rowOff>225425</xdr:rowOff>
    </xdr:from>
    <xdr:to>
      <xdr:col>4</xdr:col>
      <xdr:colOff>744855</xdr:colOff>
      <xdr:row>0</xdr:row>
      <xdr:rowOff>2095499</xdr:rowOff>
    </xdr:to>
    <xdr:pic>
      <xdr:nvPicPr>
        <xdr:cNvPr id="3" name="Picture 4" descr="xl/media/image1.jpeg">
          <a:extLst>
            <a:ext uri="{FF2B5EF4-FFF2-40B4-BE49-F238E27FC236}">
              <a16:creationId xmlns="" xmlns:a16="http://schemas.microsoft.com/office/drawing/2014/main" id="{00000000-0008-0000-0F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173355" y="163195"/>
          <a:ext cx="8344535" cy="1870074"/>
        </a:xfrm>
        <a:prstGeom prst="rect">
          <a:avLst/>
        </a:prstGeom>
        <a:noFill/>
        <a:ln w="0" cap="flat" cmpd="sng">
          <a:noFill/>
          <a:prstDash/>
        </a:ln>
      </xdr:spPr>
    </xdr:pic>
    <xdr:clientData/>
  </xdr:twoCellAnchor>
  <xdr:twoCellAnchor editAs="oneCell">
    <xdr:from>
      <xdr:col>0</xdr:col>
      <xdr:colOff>0</xdr:colOff>
      <xdr:row>140</xdr:row>
      <xdr:rowOff>138430</xdr:rowOff>
    </xdr:from>
    <xdr:to>
      <xdr:col>13</xdr:col>
      <xdr:colOff>2714625</xdr:colOff>
      <xdr:row>150</xdr:row>
      <xdr:rowOff>104140</xdr:rowOff>
    </xdr:to>
    <xdr:pic>
      <xdr:nvPicPr>
        <xdr:cNvPr id="4" name="Picture 3" descr="xl/media/image3.PNG">
          <a:extLst>
            <a:ext uri="{FF2B5EF4-FFF2-40B4-BE49-F238E27FC236}">
              <a16:creationId xmlns="" xmlns:a16="http://schemas.microsoft.com/office/drawing/2014/main" id="{00000000-0008-0000-0F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a:xfrm>
          <a:off x="0" y="86096475"/>
          <a:ext cx="20212050" cy="1727835"/>
        </a:xfrm>
        <a:prstGeom prst="rect">
          <a:avLst/>
        </a:prstGeom>
        <a:noFill/>
      </xdr:spPr>
    </xdr:pic>
    <xdr:clientData/>
  </xdr:twoCellAnchor>
  <xdr:twoCellAnchor editAs="oneCell">
    <xdr:from>
      <xdr:col>1</xdr:col>
      <xdr:colOff>292735</xdr:colOff>
      <xdr:row>145</xdr:row>
      <xdr:rowOff>106680</xdr:rowOff>
    </xdr:from>
    <xdr:to>
      <xdr:col>2</xdr:col>
      <xdr:colOff>65404</xdr:colOff>
      <xdr:row>147</xdr:row>
      <xdr:rowOff>0</xdr:rowOff>
    </xdr:to>
    <xdr:pic>
      <xdr:nvPicPr>
        <xdr:cNvPr id="5" name="Picture 4" descr="xl/media/image8.PNG">
          <a:extLst>
            <a:ext uri="{FF2B5EF4-FFF2-40B4-BE49-F238E27FC236}">
              <a16:creationId xmlns="" xmlns:a16="http://schemas.microsoft.com/office/drawing/2014/main" id="{00000000-0008-0000-0F00-000005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a:xfrm>
          <a:off x="1093470" y="86874350"/>
          <a:ext cx="696595" cy="217170"/>
        </a:xfrm>
        <a:prstGeom prst="rect">
          <a:avLst/>
        </a:prstGeom>
        <a:noFill/>
      </xdr:spPr>
    </xdr:pic>
    <xdr:clientData/>
  </xdr:twoCellAnchor>
  <xdr:twoCellAnchor editAs="oneCell">
    <xdr:from>
      <xdr:col>11</xdr:col>
      <xdr:colOff>1073785</xdr:colOff>
      <xdr:row>0</xdr:row>
      <xdr:rowOff>0</xdr:rowOff>
    </xdr:from>
    <xdr:to>
      <xdr:col>13</xdr:col>
      <xdr:colOff>2545715</xdr:colOff>
      <xdr:row>1</xdr:row>
      <xdr:rowOff>34925</xdr:rowOff>
    </xdr:to>
    <xdr:pic>
      <xdr:nvPicPr>
        <xdr:cNvPr id="6" name="Picture 5" descr="xl/media/image23.png">
          <a:extLst>
            <a:ext uri="{FF2B5EF4-FFF2-40B4-BE49-F238E27FC236}">
              <a16:creationId xmlns="" xmlns:a16="http://schemas.microsoft.com/office/drawing/2014/main" id="{00000000-0008-0000-0F00-000006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a:xfrm>
          <a:off x="15152370" y="0"/>
          <a:ext cx="4824730" cy="2520950"/>
        </a:xfrm>
        <a:prstGeom prst="rect">
          <a:avLst/>
        </a:prstGeom>
        <a:noFill/>
      </xdr:spPr>
    </xdr:pic>
    <xdr:clientData/>
  </xdr:twoCellAnchor>
  <xdr:twoCellAnchor>
    <xdr:from>
      <xdr:col>2</xdr:col>
      <xdr:colOff>1957070</xdr:colOff>
      <xdr:row>144</xdr:row>
      <xdr:rowOff>259715</xdr:rowOff>
    </xdr:from>
    <xdr:to>
      <xdr:col>2</xdr:col>
      <xdr:colOff>3440430</xdr:colOff>
      <xdr:row>147</xdr:row>
      <xdr:rowOff>41910</xdr:rowOff>
    </xdr:to>
    <xdr:pic>
      <xdr:nvPicPr>
        <xdr:cNvPr id="7" name="Picture 1" descr="xl/media/image4.png">
          <a:extLst>
            <a:ext uri="{FF2B5EF4-FFF2-40B4-BE49-F238E27FC236}">
              <a16:creationId xmlns="" xmlns:a16="http://schemas.microsoft.com/office/drawing/2014/main" id="{00000000-0008-0000-0F00-000007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a:xfrm>
          <a:off x="3681729" y="86865460"/>
          <a:ext cx="1483361" cy="267970"/>
        </a:xfrm>
        <a:prstGeom prst="rect">
          <a:avLst/>
        </a:prstGeom>
        <a:noFill/>
        <a:ln w="0" cap="flat" cmpd="sng">
          <a:noFill/>
          <a:prstDash/>
        </a:ln>
      </xdr:spPr>
    </xdr:pic>
    <xdr:clientData/>
  </xdr:twoCellAnchor>
  <xdr:twoCellAnchor editAs="oneCell">
    <xdr:from>
      <xdr:col>11</xdr:col>
      <xdr:colOff>1073785</xdr:colOff>
      <xdr:row>0</xdr:row>
      <xdr:rowOff>0</xdr:rowOff>
    </xdr:from>
    <xdr:to>
      <xdr:col>13</xdr:col>
      <xdr:colOff>2545715</xdr:colOff>
      <xdr:row>1</xdr:row>
      <xdr:rowOff>34925</xdr:rowOff>
    </xdr:to>
    <xdr:pic>
      <xdr:nvPicPr>
        <xdr:cNvPr id="8" name="Picture 7" descr="xl/media/image23.png">
          <a:extLst>
            <a:ext uri="{FF2B5EF4-FFF2-40B4-BE49-F238E27FC236}">
              <a16:creationId xmlns="" xmlns:a16="http://schemas.microsoft.com/office/drawing/2014/main" id="{00000000-0008-0000-0F00-000008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a:xfrm>
          <a:off x="15152370" y="0"/>
          <a:ext cx="4824730" cy="2520950"/>
        </a:xfrm>
        <a:prstGeom prst="rect">
          <a:avLst/>
        </a:prstGeom>
        <a:noFill/>
      </xdr:spPr>
    </xdr:pic>
    <xdr:clientData/>
  </xdr:twoCellAnchor>
  <xdr:twoCellAnchor>
    <xdr:from>
      <xdr:col>1</xdr:col>
      <xdr:colOff>1017270</xdr:colOff>
      <xdr:row>117</xdr:row>
      <xdr:rowOff>191770</xdr:rowOff>
    </xdr:from>
    <xdr:to>
      <xdr:col>1</xdr:col>
      <xdr:colOff>3068320</xdr:colOff>
      <xdr:row>120</xdr:row>
      <xdr:rowOff>191770</xdr:rowOff>
    </xdr:to>
    <xdr:pic>
      <xdr:nvPicPr>
        <xdr:cNvPr id="9" name="Picture 8" descr="xl/media/image10.png">
          <a:extLst>
            <a:ext uri="{FF2B5EF4-FFF2-40B4-BE49-F238E27FC236}">
              <a16:creationId xmlns="" xmlns:a16="http://schemas.microsoft.com/office/drawing/2014/main" id="{00000000-0008-0000-0F00-000009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a:xfrm>
          <a:off x="1818005" y="72662415"/>
          <a:ext cx="2051050" cy="2419350"/>
        </a:xfrm>
        <a:prstGeom prst="rect">
          <a:avLst/>
        </a:prstGeom>
        <a:noFill/>
        <a:ln w="0" cap="flat" cmpd="sng">
          <a:noFill/>
          <a:prstDash/>
        </a:ln>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239395</xdr:colOff>
      <xdr:row>0</xdr:row>
      <xdr:rowOff>549275</xdr:rowOff>
    </xdr:from>
    <xdr:to>
      <xdr:col>5</xdr:col>
      <xdr:colOff>958850</xdr:colOff>
      <xdr:row>0</xdr:row>
      <xdr:rowOff>1750695</xdr:rowOff>
    </xdr:to>
    <xdr:pic>
      <xdr:nvPicPr>
        <xdr:cNvPr id="7" name="Picture 4" descr="xl/media/image1.jpeg">
          <a:extLst>
            <a:ext uri="{FF2B5EF4-FFF2-40B4-BE49-F238E27FC236}">
              <a16:creationId xmlns="" xmlns:a16="http://schemas.microsoft.com/office/drawing/2014/main" id="{00000000-0008-0000-1000-000007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173355" y="487045"/>
          <a:ext cx="10111105" cy="1201420"/>
        </a:xfrm>
        <a:prstGeom prst="rect">
          <a:avLst/>
        </a:prstGeom>
        <a:noFill/>
        <a:ln w="0" cap="flat" cmpd="sng">
          <a:noFill/>
          <a:prstDash/>
        </a:ln>
      </xdr:spPr>
    </xdr:pic>
    <xdr:clientData/>
  </xdr:twoCellAnchor>
  <xdr:twoCellAnchor>
    <xdr:from>
      <xdr:col>2</xdr:col>
      <xdr:colOff>828040</xdr:colOff>
      <xdr:row>229</xdr:row>
      <xdr:rowOff>193040</xdr:rowOff>
    </xdr:from>
    <xdr:to>
      <xdr:col>2</xdr:col>
      <xdr:colOff>2310765</xdr:colOff>
      <xdr:row>231</xdr:row>
      <xdr:rowOff>269875</xdr:rowOff>
    </xdr:to>
    <xdr:pic>
      <xdr:nvPicPr>
        <xdr:cNvPr id="39" name="Picture 1" descr="xl/media/image4.png">
          <a:extLst>
            <a:ext uri="{FF2B5EF4-FFF2-40B4-BE49-F238E27FC236}">
              <a16:creationId xmlns="" xmlns:a16="http://schemas.microsoft.com/office/drawing/2014/main" id="{00000000-0008-0000-1000-000027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a:xfrm>
          <a:off x="3143250" y="104781985"/>
          <a:ext cx="1482725" cy="400685"/>
        </a:xfrm>
        <a:prstGeom prst="rect">
          <a:avLst/>
        </a:prstGeom>
        <a:noFill/>
        <a:ln w="0" cap="flat" cmpd="sng">
          <a:noFill/>
          <a:prstDash/>
        </a:ln>
      </xdr:spPr>
    </xdr:pic>
    <xdr:clientData/>
  </xdr:twoCellAnchor>
  <xdr:twoCellAnchor editAs="oneCell">
    <xdr:from>
      <xdr:col>0</xdr:col>
      <xdr:colOff>450215</xdr:colOff>
      <xdr:row>229</xdr:row>
      <xdr:rowOff>121285</xdr:rowOff>
    </xdr:from>
    <xdr:to>
      <xdr:col>2</xdr:col>
      <xdr:colOff>875030</xdr:colOff>
      <xdr:row>231</xdr:row>
      <xdr:rowOff>113665</xdr:rowOff>
    </xdr:to>
    <xdr:pic>
      <xdr:nvPicPr>
        <xdr:cNvPr id="40" name="Picture 39" descr="xl/media/image8.PNG">
          <a:extLst>
            <a:ext uri="{FF2B5EF4-FFF2-40B4-BE49-F238E27FC236}">
              <a16:creationId xmlns="" xmlns:a16="http://schemas.microsoft.com/office/drawing/2014/main" id="{00000000-0008-0000-1000-000028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a:xfrm>
          <a:off x="384175" y="104710230"/>
          <a:ext cx="2806065" cy="316230"/>
        </a:xfrm>
        <a:prstGeom prst="rect">
          <a:avLst/>
        </a:prstGeom>
        <a:noFill/>
      </xdr:spPr>
    </xdr:pic>
    <xdr:clientData/>
  </xdr:twoCellAnchor>
  <xdr:twoCellAnchor editAs="oneCell">
    <xdr:from>
      <xdr:col>0</xdr:col>
      <xdr:colOff>0</xdr:colOff>
      <xdr:row>224</xdr:row>
      <xdr:rowOff>0</xdr:rowOff>
    </xdr:from>
    <xdr:to>
      <xdr:col>14</xdr:col>
      <xdr:colOff>79375</xdr:colOff>
      <xdr:row>233</xdr:row>
      <xdr:rowOff>0</xdr:rowOff>
    </xdr:to>
    <xdr:pic>
      <xdr:nvPicPr>
        <xdr:cNvPr id="72" name="Picture 71" descr="xl/media/image3.PNG">
          <a:extLst>
            <a:ext uri="{FF2B5EF4-FFF2-40B4-BE49-F238E27FC236}">
              <a16:creationId xmlns="" xmlns:a16="http://schemas.microsoft.com/office/drawing/2014/main" id="{00000000-0008-0000-1000-000048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a:xfrm>
          <a:off x="0" y="103779320"/>
          <a:ext cx="20881975" cy="1457325"/>
        </a:xfrm>
        <a:prstGeom prst="rect">
          <a:avLst/>
        </a:prstGeom>
        <a:noFill/>
      </xdr:spPr>
    </xdr:pic>
    <xdr:clientData/>
  </xdr:twoCellAnchor>
  <xdr:twoCellAnchor>
    <xdr:from>
      <xdr:col>2</xdr:col>
      <xdr:colOff>939165</xdr:colOff>
      <xdr:row>227</xdr:row>
      <xdr:rowOff>161290</xdr:rowOff>
    </xdr:from>
    <xdr:to>
      <xdr:col>2</xdr:col>
      <xdr:colOff>2421890</xdr:colOff>
      <xdr:row>229</xdr:row>
      <xdr:rowOff>238125</xdr:rowOff>
    </xdr:to>
    <xdr:pic>
      <xdr:nvPicPr>
        <xdr:cNvPr id="73" name="Picture 1" descr="xl/media/image4.png">
          <a:extLst>
            <a:ext uri="{FF2B5EF4-FFF2-40B4-BE49-F238E27FC236}">
              <a16:creationId xmlns="" xmlns:a16="http://schemas.microsoft.com/office/drawing/2014/main" id="{00000000-0008-0000-1000-000049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a:xfrm>
          <a:off x="3254375" y="104426385"/>
          <a:ext cx="1482725" cy="400685"/>
        </a:xfrm>
        <a:prstGeom prst="rect">
          <a:avLst/>
        </a:prstGeom>
        <a:noFill/>
        <a:ln w="0" cap="flat" cmpd="sng">
          <a:noFill/>
          <a:prstDash/>
        </a:ln>
      </xdr:spPr>
    </xdr:pic>
    <xdr:clientData/>
  </xdr:twoCellAnchor>
  <xdr:twoCellAnchor editAs="oneCell">
    <xdr:from>
      <xdr:col>1</xdr:col>
      <xdr:colOff>132715</xdr:colOff>
      <xdr:row>228</xdr:row>
      <xdr:rowOff>57785</xdr:rowOff>
    </xdr:from>
    <xdr:to>
      <xdr:col>1</xdr:col>
      <xdr:colOff>1160780</xdr:colOff>
      <xdr:row>230</xdr:row>
      <xdr:rowOff>104775</xdr:rowOff>
    </xdr:to>
    <xdr:pic>
      <xdr:nvPicPr>
        <xdr:cNvPr id="74" name="Picture 73" descr="xl/media/image8.PNG">
          <a:extLst>
            <a:ext uri="{FF2B5EF4-FFF2-40B4-BE49-F238E27FC236}">
              <a16:creationId xmlns="" xmlns:a16="http://schemas.microsoft.com/office/drawing/2014/main" id="{00000000-0008-0000-1000-00004A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a:xfrm>
          <a:off x="933449" y="104484805"/>
          <a:ext cx="1028066" cy="370840"/>
        </a:xfrm>
        <a:prstGeom prst="rect">
          <a:avLst/>
        </a:prstGeom>
        <a:noFill/>
      </xdr:spPr>
    </xdr:pic>
    <xdr:clientData/>
  </xdr:twoCellAnchor>
  <xdr:twoCellAnchor editAs="oneCell">
    <xdr:from>
      <xdr:col>12</xdr:col>
      <xdr:colOff>95250</xdr:colOff>
      <xdr:row>0</xdr:row>
      <xdr:rowOff>0</xdr:rowOff>
    </xdr:from>
    <xdr:to>
      <xdr:col>13</xdr:col>
      <xdr:colOff>2587625</xdr:colOff>
      <xdr:row>0</xdr:row>
      <xdr:rowOff>2143125</xdr:rowOff>
    </xdr:to>
    <xdr:pic>
      <xdr:nvPicPr>
        <xdr:cNvPr id="75" name="Picture 74" descr="xl/media/image24.png">
          <a:extLst>
            <a:ext uri="{FF2B5EF4-FFF2-40B4-BE49-F238E27FC236}">
              <a16:creationId xmlns="" xmlns:a16="http://schemas.microsoft.com/office/drawing/2014/main" id="{00000000-0008-0000-1000-00004B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a:xfrm>
          <a:off x="16526510" y="0"/>
          <a:ext cx="4083050" cy="2143125"/>
        </a:xfrm>
        <a:prstGeom prst="rect">
          <a:avLst/>
        </a:prstGeom>
        <a:noFill/>
      </xdr:spPr>
    </xdr:pic>
    <xdr:clientData/>
  </xdr:twoCellAnchor>
</xdr:wsDr>
</file>

<file path=xl/drawings/drawing16.xml><?xml version="1.0" encoding="utf-8"?>
<xdr:wsDr xmlns:xdr="http://schemas.openxmlformats.org/drawingml/2006/spreadsheetDrawing" xmlns:a="http://schemas.openxmlformats.org/drawingml/2006/main">
  <xdr:twoCellAnchor>
    <xdr:from>
      <xdr:col>1</xdr:col>
      <xdr:colOff>1017270</xdr:colOff>
      <xdr:row>103</xdr:row>
      <xdr:rowOff>191770</xdr:rowOff>
    </xdr:from>
    <xdr:to>
      <xdr:col>1</xdr:col>
      <xdr:colOff>3068320</xdr:colOff>
      <xdr:row>106</xdr:row>
      <xdr:rowOff>191770</xdr:rowOff>
    </xdr:to>
    <xdr:pic>
      <xdr:nvPicPr>
        <xdr:cNvPr id="2" name="Picture 1" descr="xl/media/image10.png">
          <a:extLst>
            <a:ext uri="{FF2B5EF4-FFF2-40B4-BE49-F238E27FC236}">
              <a16:creationId xmlns="" xmlns:a16="http://schemas.microsoft.com/office/drawing/2014/main" id="{00000000-0008-0000-1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1818005" y="58479690"/>
          <a:ext cx="2051050" cy="2667000"/>
        </a:xfrm>
        <a:prstGeom prst="rect">
          <a:avLst/>
        </a:prstGeom>
        <a:noFill/>
        <a:ln w="0" cap="flat" cmpd="sng">
          <a:noFill/>
          <a:prstDash/>
        </a:ln>
      </xdr:spPr>
    </xdr:pic>
    <xdr:clientData/>
  </xdr:twoCellAnchor>
  <xdr:twoCellAnchor editAs="oneCell">
    <xdr:from>
      <xdr:col>0</xdr:col>
      <xdr:colOff>239395</xdr:colOff>
      <xdr:row>0</xdr:row>
      <xdr:rowOff>225425</xdr:rowOff>
    </xdr:from>
    <xdr:to>
      <xdr:col>4</xdr:col>
      <xdr:colOff>744855</xdr:colOff>
      <xdr:row>0</xdr:row>
      <xdr:rowOff>2095499</xdr:rowOff>
    </xdr:to>
    <xdr:pic>
      <xdr:nvPicPr>
        <xdr:cNvPr id="3" name="Picture 4" descr="xl/media/image1.jpeg">
          <a:extLst>
            <a:ext uri="{FF2B5EF4-FFF2-40B4-BE49-F238E27FC236}">
              <a16:creationId xmlns="" xmlns:a16="http://schemas.microsoft.com/office/drawing/2014/main" id="{00000000-0008-0000-11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a:xfrm>
          <a:off x="173355" y="163195"/>
          <a:ext cx="8344535" cy="1870074"/>
        </a:xfrm>
        <a:prstGeom prst="rect">
          <a:avLst/>
        </a:prstGeom>
        <a:noFill/>
        <a:ln w="0" cap="flat" cmpd="sng">
          <a:noFill/>
          <a:prstDash/>
        </a:ln>
      </xdr:spPr>
    </xdr:pic>
    <xdr:clientData/>
  </xdr:twoCellAnchor>
  <xdr:twoCellAnchor editAs="oneCell">
    <xdr:from>
      <xdr:col>0</xdr:col>
      <xdr:colOff>0</xdr:colOff>
      <xdr:row>155</xdr:row>
      <xdr:rowOff>138430</xdr:rowOff>
    </xdr:from>
    <xdr:to>
      <xdr:col>13</xdr:col>
      <xdr:colOff>2437765</xdr:colOff>
      <xdr:row>165</xdr:row>
      <xdr:rowOff>104140</xdr:rowOff>
    </xdr:to>
    <xdr:pic>
      <xdr:nvPicPr>
        <xdr:cNvPr id="4" name="Picture 3" descr="xl/media/image3.PNG">
          <a:extLst>
            <a:ext uri="{FF2B5EF4-FFF2-40B4-BE49-F238E27FC236}">
              <a16:creationId xmlns="" xmlns:a16="http://schemas.microsoft.com/office/drawing/2014/main" id="{00000000-0008-0000-1100-000004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a:xfrm>
          <a:off x="0" y="90497025"/>
          <a:ext cx="20211415" cy="1727835"/>
        </a:xfrm>
        <a:prstGeom prst="rect">
          <a:avLst/>
        </a:prstGeom>
        <a:noFill/>
      </xdr:spPr>
    </xdr:pic>
    <xdr:clientData/>
  </xdr:twoCellAnchor>
  <xdr:twoCellAnchor editAs="oneCell">
    <xdr:from>
      <xdr:col>1</xdr:col>
      <xdr:colOff>292735</xdr:colOff>
      <xdr:row>160</xdr:row>
      <xdr:rowOff>106680</xdr:rowOff>
    </xdr:from>
    <xdr:to>
      <xdr:col>2</xdr:col>
      <xdr:colOff>65404</xdr:colOff>
      <xdr:row>162</xdr:row>
      <xdr:rowOff>0</xdr:rowOff>
    </xdr:to>
    <xdr:pic>
      <xdr:nvPicPr>
        <xdr:cNvPr id="5" name="Picture 4" descr="xl/media/image8.PNG">
          <a:extLst>
            <a:ext uri="{FF2B5EF4-FFF2-40B4-BE49-F238E27FC236}">
              <a16:creationId xmlns="" xmlns:a16="http://schemas.microsoft.com/office/drawing/2014/main" id="{00000000-0008-0000-1100-000005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a:xfrm>
          <a:off x="1093470" y="91274900"/>
          <a:ext cx="696595" cy="217170"/>
        </a:xfrm>
        <a:prstGeom prst="rect">
          <a:avLst/>
        </a:prstGeom>
        <a:noFill/>
      </xdr:spPr>
    </xdr:pic>
    <xdr:clientData/>
  </xdr:twoCellAnchor>
  <xdr:twoCellAnchor editAs="oneCell">
    <xdr:from>
      <xdr:col>11</xdr:col>
      <xdr:colOff>1073785</xdr:colOff>
      <xdr:row>0</xdr:row>
      <xdr:rowOff>0</xdr:rowOff>
    </xdr:from>
    <xdr:to>
      <xdr:col>13</xdr:col>
      <xdr:colOff>2545715</xdr:colOff>
      <xdr:row>1</xdr:row>
      <xdr:rowOff>34925</xdr:rowOff>
    </xdr:to>
    <xdr:pic>
      <xdr:nvPicPr>
        <xdr:cNvPr id="6" name="Picture 5" descr="xl/media/image23.png">
          <a:extLst>
            <a:ext uri="{FF2B5EF4-FFF2-40B4-BE49-F238E27FC236}">
              <a16:creationId xmlns="" xmlns:a16="http://schemas.microsoft.com/office/drawing/2014/main" id="{00000000-0008-0000-1100-000006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a:xfrm>
          <a:off x="15428594" y="0"/>
          <a:ext cx="4824731" cy="2520950"/>
        </a:xfrm>
        <a:prstGeom prst="rect">
          <a:avLst/>
        </a:prstGeom>
        <a:noFill/>
      </xdr:spPr>
    </xdr:pic>
    <xdr:clientData/>
  </xdr:twoCellAnchor>
  <xdr:twoCellAnchor>
    <xdr:from>
      <xdr:col>2</xdr:col>
      <xdr:colOff>1957070</xdr:colOff>
      <xdr:row>159</xdr:row>
      <xdr:rowOff>259715</xdr:rowOff>
    </xdr:from>
    <xdr:to>
      <xdr:col>2</xdr:col>
      <xdr:colOff>3440430</xdr:colOff>
      <xdr:row>162</xdr:row>
      <xdr:rowOff>41910</xdr:rowOff>
    </xdr:to>
    <xdr:pic>
      <xdr:nvPicPr>
        <xdr:cNvPr id="7" name="Picture 1" descr="xl/media/image4.png">
          <a:extLst>
            <a:ext uri="{FF2B5EF4-FFF2-40B4-BE49-F238E27FC236}">
              <a16:creationId xmlns="" xmlns:a16="http://schemas.microsoft.com/office/drawing/2014/main" id="{00000000-0008-0000-1100-000007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a:xfrm>
          <a:off x="3681729" y="91266010"/>
          <a:ext cx="1483361" cy="267970"/>
        </a:xfrm>
        <a:prstGeom prst="rect">
          <a:avLst/>
        </a:prstGeom>
        <a:noFill/>
        <a:ln w="0" cap="flat" cmpd="sng">
          <a:noFill/>
          <a:prstDash/>
        </a:ln>
      </xdr:spPr>
    </xdr:pic>
    <xdr:clientData/>
  </xdr:twoCellAnchor>
  <xdr:twoCellAnchor editAs="oneCell">
    <xdr:from>
      <xdr:col>12</xdr:col>
      <xdr:colOff>828675</xdr:colOff>
      <xdr:row>0</xdr:row>
      <xdr:rowOff>0</xdr:rowOff>
    </xdr:from>
    <xdr:to>
      <xdr:col>13</xdr:col>
      <xdr:colOff>2199640</xdr:colOff>
      <xdr:row>1</xdr:row>
      <xdr:rowOff>72390</xdr:rowOff>
    </xdr:to>
    <xdr:pic>
      <xdr:nvPicPr>
        <xdr:cNvPr id="8" name="Picture 7" descr="xl/media/image9.png">
          <a:extLst>
            <a:ext uri="{FF2B5EF4-FFF2-40B4-BE49-F238E27FC236}">
              <a16:creationId xmlns="" xmlns:a16="http://schemas.microsoft.com/office/drawing/2014/main" id="{00000000-0008-0000-1100-000008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a:xfrm>
          <a:off x="16945610" y="0"/>
          <a:ext cx="2961640" cy="2558415"/>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219075</xdr:colOff>
      <xdr:row>2</xdr:row>
      <xdr:rowOff>0</xdr:rowOff>
    </xdr:from>
    <xdr:to>
      <xdr:col>2</xdr:col>
      <xdr:colOff>0</xdr:colOff>
      <xdr:row>2</xdr:row>
      <xdr:rowOff>0</xdr:rowOff>
    </xdr:to>
    <xdr:grpSp>
      <xdr:nvGrpSpPr>
        <xdr:cNvPr id="2" name="Group 33">
          <a:extLst>
            <a:ext uri="{FF2B5EF4-FFF2-40B4-BE49-F238E27FC236}">
              <a16:creationId xmlns="" xmlns:a16="http://schemas.microsoft.com/office/drawing/2014/main" id="{00000000-0008-0000-0200-000002000000}"/>
            </a:ext>
          </a:extLst>
        </xdr:cNvPr>
        <xdr:cNvGrpSpPr/>
      </xdr:nvGrpSpPr>
      <xdr:grpSpPr>
        <a:xfrm>
          <a:off x="219075" y="591207"/>
          <a:ext cx="1350908" cy="0"/>
          <a:chOff x="153035" y="528320"/>
          <a:chExt cx="1352550" cy="0"/>
        </a:xfrm>
      </xdr:grpSpPr>
      <xdr:sp macro="" textlink="">
        <xdr:nvSpPr>
          <xdr:cNvPr id="3" name="Freeform 34">
            <a:extLst>
              <a:ext uri="{FF2B5EF4-FFF2-40B4-BE49-F238E27FC236}">
                <a16:creationId xmlns="" xmlns:a16="http://schemas.microsoft.com/office/drawing/2014/main" id="{00000000-0008-0000-0200-000003000000}"/>
              </a:ext>
            </a:extLst>
          </xdr:cNvPr>
          <xdr:cNvSpPr>
            <a:spLocks/>
          </xdr:cNvSpPr>
        </xdr:nvSpPr>
        <xdr:spPr>
          <a:xfrm>
            <a:off x="836930" y="528320"/>
            <a:ext cx="138430" cy="0"/>
          </a:xfrm>
          <a:custGeom>
            <a:avLst/>
            <a:gdLst/>
            <a:ahLst/>
            <a:cxnLst/>
            <a:rect l="0" t="0" r="0" b="0"/>
            <a:pathLst>
              <a:path w="43" h="51">
                <a:moveTo>
                  <a:pt x="0" y="1"/>
                </a:moveTo>
                <a:cubicBezTo>
                  <a:pt x="4" y="0"/>
                  <a:pt x="9" y="0"/>
                  <a:pt x="14" y="0"/>
                </a:cubicBezTo>
                <a:cubicBezTo>
                  <a:pt x="24" y="0"/>
                  <a:pt x="30" y="2"/>
                  <a:pt x="35" y="6"/>
                </a:cubicBezTo>
                <a:cubicBezTo>
                  <a:pt x="40" y="10"/>
                  <a:pt x="43" y="16"/>
                  <a:pt x="43" y="24"/>
                </a:cubicBezTo>
                <a:cubicBezTo>
                  <a:pt x="43" y="33"/>
                  <a:pt x="40" y="40"/>
                  <a:pt x="35" y="44"/>
                </a:cubicBezTo>
                <a:cubicBezTo>
                  <a:pt x="30" y="49"/>
                  <a:pt x="22" y="51"/>
                  <a:pt x="12" y="51"/>
                </a:cubicBezTo>
                <a:cubicBezTo>
                  <a:pt x="7" y="51"/>
                  <a:pt x="3" y="51"/>
                  <a:pt x="0" y="51"/>
                </a:cubicBezTo>
                <a:lnTo>
                  <a:pt x="0" y="1"/>
                </a:lnTo>
                <a:moveTo>
                  <a:pt x="9" y="44"/>
                </a:moveTo>
                <a:cubicBezTo>
                  <a:pt x="10" y="44"/>
                  <a:pt x="12" y="44"/>
                  <a:pt x="14" y="44"/>
                </a:cubicBezTo>
                <a:cubicBezTo>
                  <a:pt x="26" y="44"/>
                  <a:pt x="33" y="37"/>
                  <a:pt x="33" y="25"/>
                </a:cubicBezTo>
                <a:cubicBezTo>
                  <a:pt x="33" y="13"/>
                  <a:pt x="27" y="7"/>
                  <a:pt x="15" y="7"/>
                </a:cubicBezTo>
                <a:cubicBezTo>
                  <a:pt x="12" y="7"/>
                  <a:pt x="10" y="7"/>
                  <a:pt x="9" y="8"/>
                </a:cubicBezTo>
                <a:lnTo>
                  <a:pt x="9" y="44"/>
                </a:lnTo>
                <a:close/>
              </a:path>
            </a:pathLst>
          </a:custGeom>
          <a:solidFill>
            <a:srgbClr val="0071B1"/>
          </a:solidFill>
          <a:ln w="0" cap="flat" cmpd="sng">
            <a:noFill/>
            <a:prstDash/>
          </a:ln>
        </xdr:spPr>
      </xdr:sp>
      <xdr:sp macro="" textlink="">
        <xdr:nvSpPr>
          <xdr:cNvPr id="4" name="Freeform 35">
            <a:extLst>
              <a:ext uri="{FF2B5EF4-FFF2-40B4-BE49-F238E27FC236}">
                <a16:creationId xmlns="" xmlns:a16="http://schemas.microsoft.com/office/drawing/2014/main" id="{00000000-0008-0000-0200-000004000000}"/>
              </a:ext>
            </a:extLst>
          </xdr:cNvPr>
          <xdr:cNvSpPr>
            <a:spLocks/>
          </xdr:cNvSpPr>
        </xdr:nvSpPr>
        <xdr:spPr>
          <a:xfrm>
            <a:off x="991235" y="528320"/>
            <a:ext cx="154305" cy="0"/>
          </a:xfrm>
          <a:custGeom>
            <a:avLst/>
            <a:gdLst/>
            <a:ahLst/>
            <a:cxnLst/>
            <a:rect l="0" t="0" r="0" b="0"/>
            <a:pathLst>
              <a:path w="48" h="53">
                <a:moveTo>
                  <a:pt x="48" y="26"/>
                </a:moveTo>
                <a:cubicBezTo>
                  <a:pt x="48" y="43"/>
                  <a:pt x="38" y="53"/>
                  <a:pt x="24" y="53"/>
                </a:cubicBezTo>
                <a:cubicBezTo>
                  <a:pt x="9" y="53"/>
                  <a:pt x="0" y="42"/>
                  <a:pt x="0" y="27"/>
                </a:cubicBezTo>
                <a:cubicBezTo>
                  <a:pt x="0" y="11"/>
                  <a:pt x="10" y="0"/>
                  <a:pt x="24" y="0"/>
                </a:cubicBezTo>
                <a:cubicBezTo>
                  <a:pt x="39" y="0"/>
                  <a:pt x="48" y="12"/>
                  <a:pt x="48" y="26"/>
                </a:cubicBezTo>
                <a:moveTo>
                  <a:pt x="10" y="27"/>
                </a:moveTo>
                <a:cubicBezTo>
                  <a:pt x="10" y="37"/>
                  <a:pt x="15" y="45"/>
                  <a:pt x="24" y="45"/>
                </a:cubicBezTo>
                <a:cubicBezTo>
                  <a:pt x="33" y="45"/>
                  <a:pt x="38" y="37"/>
                  <a:pt x="38" y="26"/>
                </a:cubicBezTo>
                <a:cubicBezTo>
                  <a:pt x="38" y="17"/>
                  <a:pt x="33" y="8"/>
                  <a:pt x="24" y="8"/>
                </a:cubicBezTo>
                <a:cubicBezTo>
                  <a:pt x="15" y="8"/>
                  <a:pt x="10" y="16"/>
                  <a:pt x="10" y="27"/>
                </a:cubicBezTo>
                <a:close/>
              </a:path>
            </a:pathLst>
          </a:custGeom>
          <a:solidFill>
            <a:srgbClr val="0071B1"/>
          </a:solidFill>
          <a:ln w="0" cap="flat" cmpd="sng">
            <a:noFill/>
            <a:prstDash/>
          </a:ln>
        </xdr:spPr>
      </xdr:sp>
      <xdr:sp macro="" textlink="">
        <xdr:nvSpPr>
          <xdr:cNvPr id="5" name="Freeform 36">
            <a:extLst>
              <a:ext uri="{FF2B5EF4-FFF2-40B4-BE49-F238E27FC236}">
                <a16:creationId xmlns="" xmlns:a16="http://schemas.microsoft.com/office/drawing/2014/main" id="{00000000-0008-0000-0200-000005000000}"/>
              </a:ext>
            </a:extLst>
          </xdr:cNvPr>
          <xdr:cNvSpPr>
            <a:spLocks/>
          </xdr:cNvSpPr>
        </xdr:nvSpPr>
        <xdr:spPr>
          <a:xfrm>
            <a:off x="1165860" y="528320"/>
            <a:ext cx="94615" cy="0"/>
          </a:xfrm>
          <a:custGeom>
            <a:avLst/>
            <a:gdLst/>
            <a:ahLst/>
            <a:cxnLst/>
            <a:rect l="0" t="0" r="0" b="0"/>
            <a:pathLst>
              <a:path w="30" h="53">
                <a:moveTo>
                  <a:pt x="1" y="44"/>
                </a:moveTo>
                <a:cubicBezTo>
                  <a:pt x="4" y="46"/>
                  <a:pt x="8" y="47"/>
                  <a:pt x="13" y="47"/>
                </a:cubicBezTo>
                <a:cubicBezTo>
                  <a:pt x="20" y="47"/>
                  <a:pt x="24" y="44"/>
                  <a:pt x="24" y="39"/>
                </a:cubicBezTo>
                <a:cubicBezTo>
                  <a:pt x="24" y="34"/>
                  <a:pt x="21" y="31"/>
                  <a:pt x="14" y="29"/>
                </a:cubicBezTo>
                <a:cubicBezTo>
                  <a:pt x="6" y="26"/>
                  <a:pt x="1" y="21"/>
                  <a:pt x="1" y="14"/>
                </a:cubicBezTo>
                <a:cubicBezTo>
                  <a:pt x="1" y="6"/>
                  <a:pt x="7" y="0"/>
                  <a:pt x="17" y="0"/>
                </a:cubicBezTo>
                <a:cubicBezTo>
                  <a:pt x="22" y="0"/>
                  <a:pt x="26" y="2"/>
                  <a:pt x="28" y="3"/>
                </a:cubicBezTo>
                <a:cubicBezTo>
                  <a:pt x="26" y="8"/>
                  <a:pt x="26" y="8"/>
                  <a:pt x="26" y="8"/>
                </a:cubicBezTo>
                <a:cubicBezTo>
                  <a:pt x="25" y="7"/>
                  <a:pt x="21" y="6"/>
                  <a:pt x="17" y="6"/>
                </a:cubicBezTo>
                <a:cubicBezTo>
                  <a:pt x="10" y="6"/>
                  <a:pt x="7" y="10"/>
                  <a:pt x="7" y="13"/>
                </a:cubicBezTo>
                <a:cubicBezTo>
                  <a:pt x="7" y="18"/>
                  <a:pt x="10" y="20"/>
                  <a:pt x="17" y="23"/>
                </a:cubicBezTo>
                <a:cubicBezTo>
                  <a:pt x="26" y="26"/>
                  <a:pt x="30" y="31"/>
                  <a:pt x="30" y="38"/>
                </a:cubicBezTo>
                <a:cubicBezTo>
                  <a:pt x="30" y="46"/>
                  <a:pt x="24" y="53"/>
                  <a:pt x="13" y="53"/>
                </a:cubicBezTo>
                <a:cubicBezTo>
                  <a:pt x="8" y="53"/>
                  <a:pt x="2" y="51"/>
                  <a:pt x="0" y="49"/>
                </a:cubicBezTo>
                <a:lnTo>
                  <a:pt x="1" y="44"/>
                </a:lnTo>
                <a:close/>
              </a:path>
            </a:pathLst>
          </a:custGeom>
          <a:solidFill>
            <a:srgbClr val="0071B1"/>
          </a:solidFill>
          <a:ln w="0" cap="flat" cmpd="sng">
            <a:noFill/>
            <a:prstDash/>
          </a:ln>
        </xdr:spPr>
      </xdr:sp>
      <xdr:sp macro="" textlink="">
        <xdr:nvSpPr>
          <xdr:cNvPr id="6" name="Freeform 37">
            <a:extLst>
              <a:ext uri="{FF2B5EF4-FFF2-40B4-BE49-F238E27FC236}">
                <a16:creationId xmlns="" xmlns:a16="http://schemas.microsoft.com/office/drawing/2014/main" id="{00000000-0008-0000-0200-000006000000}"/>
              </a:ext>
            </a:extLst>
          </xdr:cNvPr>
          <xdr:cNvSpPr>
            <a:spLocks/>
          </xdr:cNvSpPr>
        </xdr:nvSpPr>
        <xdr:spPr>
          <a:xfrm>
            <a:off x="1290320" y="528320"/>
            <a:ext cx="121920" cy="0"/>
          </a:xfrm>
          <a:custGeom>
            <a:avLst/>
            <a:gdLst/>
            <a:ahLst/>
            <a:cxnLst/>
            <a:rect l="0" t="0" r="0" b="0"/>
            <a:pathLst>
              <a:path w="90" h="122">
                <a:moveTo>
                  <a:pt x="16" y="0"/>
                </a:moveTo>
                <a:lnTo>
                  <a:pt x="16" y="50"/>
                </a:lnTo>
                <a:lnTo>
                  <a:pt x="73" y="50"/>
                </a:lnTo>
                <a:lnTo>
                  <a:pt x="73" y="0"/>
                </a:lnTo>
                <a:lnTo>
                  <a:pt x="90" y="0"/>
                </a:lnTo>
                <a:lnTo>
                  <a:pt x="90" y="122"/>
                </a:lnTo>
                <a:lnTo>
                  <a:pt x="73" y="122"/>
                </a:lnTo>
                <a:lnTo>
                  <a:pt x="73" y="64"/>
                </a:lnTo>
                <a:lnTo>
                  <a:pt x="16" y="64"/>
                </a:lnTo>
                <a:lnTo>
                  <a:pt x="16" y="122"/>
                </a:lnTo>
                <a:lnTo>
                  <a:pt x="0" y="122"/>
                </a:lnTo>
                <a:lnTo>
                  <a:pt x="0" y="0"/>
                </a:lnTo>
                <a:lnTo>
                  <a:pt x="16" y="0"/>
                </a:lnTo>
                <a:close/>
              </a:path>
            </a:pathLst>
          </a:custGeom>
          <a:solidFill>
            <a:srgbClr val="0071B1"/>
          </a:solidFill>
          <a:ln w="0" cap="flat" cmpd="sng">
            <a:noFill/>
            <a:prstDash/>
          </a:ln>
        </xdr:spPr>
      </xdr:sp>
      <xdr:sp macro="" textlink="">
        <xdr:nvSpPr>
          <xdr:cNvPr id="7" name="Rectangle 38">
            <a:extLst>
              <a:ext uri="{FF2B5EF4-FFF2-40B4-BE49-F238E27FC236}">
                <a16:creationId xmlns="" xmlns:a16="http://schemas.microsoft.com/office/drawing/2014/main" id="{00000000-0008-0000-0200-000007000000}"/>
              </a:ext>
            </a:extLst>
          </xdr:cNvPr>
          <xdr:cNvSpPr>
            <a:spLocks/>
          </xdr:cNvSpPr>
        </xdr:nvSpPr>
        <xdr:spPr>
          <a:xfrm>
            <a:off x="1447165" y="528320"/>
            <a:ext cx="22860" cy="0"/>
          </a:xfrm>
          <a:prstGeom prst="rect">
            <a:avLst/>
          </a:prstGeom>
          <a:solidFill>
            <a:srgbClr val="0071B1"/>
          </a:solidFill>
          <a:ln w="0" cap="flat" cmpd="sng">
            <a:noFill/>
            <a:prstDash/>
          </a:ln>
        </xdr:spPr>
      </xdr:sp>
      <xdr:sp macro="" textlink="">
        <xdr:nvSpPr>
          <xdr:cNvPr id="8" name="Freeform 39">
            <a:extLst>
              <a:ext uri="{FF2B5EF4-FFF2-40B4-BE49-F238E27FC236}">
                <a16:creationId xmlns="" xmlns:a16="http://schemas.microsoft.com/office/drawing/2014/main" id="{00000000-0008-0000-0200-000008000000}"/>
              </a:ext>
            </a:extLst>
          </xdr:cNvPr>
          <xdr:cNvSpPr>
            <a:spLocks/>
          </xdr:cNvSpPr>
        </xdr:nvSpPr>
        <xdr:spPr>
          <a:xfrm>
            <a:off x="153035" y="528320"/>
            <a:ext cx="83820" cy="0"/>
          </a:xfrm>
          <a:custGeom>
            <a:avLst/>
            <a:gdLst/>
            <a:ahLst/>
            <a:cxnLst/>
            <a:rect l="0" t="0" r="0" b="0"/>
            <a:pathLst>
              <a:path w="26" h="35">
                <a:moveTo>
                  <a:pt x="26" y="33"/>
                </a:moveTo>
                <a:cubicBezTo>
                  <a:pt x="24" y="34"/>
                  <a:pt x="21" y="35"/>
                  <a:pt x="17" y="35"/>
                </a:cubicBezTo>
                <a:cubicBezTo>
                  <a:pt x="8" y="35"/>
                  <a:pt x="0" y="29"/>
                  <a:pt x="0" y="18"/>
                </a:cubicBezTo>
                <a:cubicBezTo>
                  <a:pt x="0" y="7"/>
                  <a:pt x="8" y="0"/>
                  <a:pt x="18" y="0"/>
                </a:cubicBezTo>
                <a:cubicBezTo>
                  <a:pt x="22" y="0"/>
                  <a:pt x="25" y="1"/>
                  <a:pt x="26" y="2"/>
                </a:cubicBezTo>
                <a:cubicBezTo>
                  <a:pt x="25" y="5"/>
                  <a:pt x="25" y="5"/>
                  <a:pt x="25" y="5"/>
                </a:cubicBezTo>
                <a:cubicBezTo>
                  <a:pt x="23" y="4"/>
                  <a:pt x="21" y="4"/>
                  <a:pt x="18" y="4"/>
                </a:cubicBezTo>
                <a:cubicBezTo>
                  <a:pt x="10" y="4"/>
                  <a:pt x="5" y="9"/>
                  <a:pt x="5" y="18"/>
                </a:cubicBezTo>
                <a:cubicBezTo>
                  <a:pt x="5" y="26"/>
                  <a:pt x="10" y="31"/>
                  <a:pt x="18" y="31"/>
                </a:cubicBezTo>
                <a:cubicBezTo>
                  <a:pt x="21" y="31"/>
                  <a:pt x="23" y="31"/>
                  <a:pt x="25" y="30"/>
                </a:cubicBezTo>
                <a:lnTo>
                  <a:pt x="26" y="33"/>
                </a:lnTo>
                <a:close/>
              </a:path>
            </a:pathLst>
          </a:custGeom>
          <a:solidFill>
            <a:srgbClr val="0071B1"/>
          </a:solidFill>
          <a:ln w="0" cap="flat" cmpd="sng">
            <a:noFill/>
            <a:prstDash/>
          </a:ln>
        </xdr:spPr>
      </xdr:sp>
      <xdr:sp macro="" textlink="">
        <xdr:nvSpPr>
          <xdr:cNvPr id="9" name="Freeform 40">
            <a:extLst>
              <a:ext uri="{FF2B5EF4-FFF2-40B4-BE49-F238E27FC236}">
                <a16:creationId xmlns="" xmlns:a16="http://schemas.microsoft.com/office/drawing/2014/main" id="{00000000-0008-0000-0200-000009000000}"/>
              </a:ext>
            </a:extLst>
          </xdr:cNvPr>
          <xdr:cNvSpPr>
            <a:spLocks/>
          </xdr:cNvSpPr>
        </xdr:nvSpPr>
        <xdr:spPr>
          <a:xfrm>
            <a:off x="245745" y="528320"/>
            <a:ext cx="77470" cy="0"/>
          </a:xfrm>
          <a:custGeom>
            <a:avLst/>
            <a:gdLst/>
            <a:ahLst/>
            <a:cxnLst/>
            <a:rect l="0" t="0" r="0" b="0"/>
            <a:pathLst>
              <a:path w="24" h="25">
                <a:moveTo>
                  <a:pt x="24" y="12"/>
                </a:moveTo>
                <a:cubicBezTo>
                  <a:pt x="24" y="21"/>
                  <a:pt x="17" y="25"/>
                  <a:pt x="12" y="25"/>
                </a:cubicBezTo>
                <a:cubicBezTo>
                  <a:pt x="5" y="25"/>
                  <a:pt x="0" y="20"/>
                  <a:pt x="0" y="12"/>
                </a:cubicBezTo>
                <a:cubicBezTo>
                  <a:pt x="0" y="4"/>
                  <a:pt x="5" y="0"/>
                  <a:pt x="12" y="0"/>
                </a:cubicBezTo>
                <a:cubicBezTo>
                  <a:pt x="19" y="0"/>
                  <a:pt x="24" y="5"/>
                  <a:pt x="24" y="12"/>
                </a:cubicBezTo>
                <a:moveTo>
                  <a:pt x="4" y="12"/>
                </a:moveTo>
                <a:cubicBezTo>
                  <a:pt x="4" y="18"/>
                  <a:pt x="7" y="22"/>
                  <a:pt x="12" y="22"/>
                </a:cubicBezTo>
                <a:cubicBezTo>
                  <a:pt x="16" y="22"/>
                  <a:pt x="19" y="18"/>
                  <a:pt x="19" y="12"/>
                </a:cubicBezTo>
                <a:cubicBezTo>
                  <a:pt x="19" y="8"/>
                  <a:pt x="17" y="3"/>
                  <a:pt x="12" y="3"/>
                </a:cubicBezTo>
                <a:cubicBezTo>
                  <a:pt x="7" y="3"/>
                  <a:pt x="4" y="8"/>
                  <a:pt x="4" y="12"/>
                </a:cubicBezTo>
                <a:close/>
              </a:path>
            </a:pathLst>
          </a:custGeom>
          <a:solidFill>
            <a:srgbClr val="0071B1"/>
          </a:solidFill>
          <a:ln w="0" cap="flat" cmpd="sng">
            <a:noFill/>
            <a:prstDash/>
          </a:ln>
        </xdr:spPr>
      </xdr:sp>
      <xdr:sp macro="" textlink="">
        <xdr:nvSpPr>
          <xdr:cNvPr id="10" name="Freeform 41">
            <a:extLst>
              <a:ext uri="{FF2B5EF4-FFF2-40B4-BE49-F238E27FC236}">
                <a16:creationId xmlns="" xmlns:a16="http://schemas.microsoft.com/office/drawing/2014/main" id="{00000000-0008-0000-0200-00000A000000}"/>
              </a:ext>
            </a:extLst>
          </xdr:cNvPr>
          <xdr:cNvSpPr>
            <a:spLocks/>
          </xdr:cNvSpPr>
        </xdr:nvSpPr>
        <xdr:spPr>
          <a:xfrm>
            <a:off x="339090" y="528320"/>
            <a:ext cx="67945" cy="0"/>
          </a:xfrm>
          <a:custGeom>
            <a:avLst/>
            <a:gdLst/>
            <a:ahLst/>
            <a:cxnLst/>
            <a:rect l="0" t="0" r="0" b="0"/>
            <a:pathLst>
              <a:path w="21" h="24">
                <a:moveTo>
                  <a:pt x="0" y="7"/>
                </a:moveTo>
                <a:cubicBezTo>
                  <a:pt x="0" y="4"/>
                  <a:pt x="0" y="2"/>
                  <a:pt x="0" y="0"/>
                </a:cubicBezTo>
                <a:cubicBezTo>
                  <a:pt x="4" y="0"/>
                  <a:pt x="4" y="0"/>
                  <a:pt x="4" y="0"/>
                </a:cubicBezTo>
                <a:cubicBezTo>
                  <a:pt x="4" y="4"/>
                  <a:pt x="4" y="4"/>
                  <a:pt x="4" y="4"/>
                </a:cubicBezTo>
                <a:cubicBezTo>
                  <a:pt x="4" y="4"/>
                  <a:pt x="4" y="4"/>
                  <a:pt x="4" y="4"/>
                </a:cubicBezTo>
                <a:cubicBezTo>
                  <a:pt x="5" y="2"/>
                  <a:pt x="8" y="0"/>
                  <a:pt x="12" y="0"/>
                </a:cubicBezTo>
                <a:cubicBezTo>
                  <a:pt x="16" y="0"/>
                  <a:pt x="21" y="2"/>
                  <a:pt x="21" y="10"/>
                </a:cubicBezTo>
                <a:cubicBezTo>
                  <a:pt x="21" y="24"/>
                  <a:pt x="21" y="24"/>
                  <a:pt x="21" y="24"/>
                </a:cubicBezTo>
                <a:cubicBezTo>
                  <a:pt x="16" y="24"/>
                  <a:pt x="16" y="24"/>
                  <a:pt x="16" y="24"/>
                </a:cubicBezTo>
                <a:cubicBezTo>
                  <a:pt x="16" y="10"/>
                  <a:pt x="16" y="10"/>
                  <a:pt x="16" y="10"/>
                </a:cubicBezTo>
                <a:cubicBezTo>
                  <a:pt x="16" y="7"/>
                  <a:pt x="15" y="3"/>
                  <a:pt x="11" y="3"/>
                </a:cubicBezTo>
                <a:cubicBezTo>
                  <a:pt x="8" y="3"/>
                  <a:pt x="6" y="5"/>
                  <a:pt x="5" y="8"/>
                </a:cubicBezTo>
                <a:cubicBezTo>
                  <a:pt x="5" y="8"/>
                  <a:pt x="5" y="9"/>
                  <a:pt x="5" y="10"/>
                </a:cubicBezTo>
                <a:cubicBezTo>
                  <a:pt x="5" y="24"/>
                  <a:pt x="5" y="24"/>
                  <a:pt x="5" y="24"/>
                </a:cubicBezTo>
                <a:cubicBezTo>
                  <a:pt x="0" y="24"/>
                  <a:pt x="0" y="24"/>
                  <a:pt x="0" y="24"/>
                </a:cubicBezTo>
                <a:lnTo>
                  <a:pt x="0" y="7"/>
                </a:lnTo>
                <a:close/>
              </a:path>
            </a:pathLst>
          </a:custGeom>
          <a:solidFill>
            <a:srgbClr val="0071B1"/>
          </a:solidFill>
          <a:ln w="0" cap="flat" cmpd="sng">
            <a:noFill/>
            <a:prstDash/>
          </a:ln>
        </xdr:spPr>
      </xdr:sp>
      <xdr:sp macro="" textlink="">
        <xdr:nvSpPr>
          <xdr:cNvPr id="11" name="Freeform 42">
            <a:extLst>
              <a:ext uri="{FF2B5EF4-FFF2-40B4-BE49-F238E27FC236}">
                <a16:creationId xmlns="" xmlns:a16="http://schemas.microsoft.com/office/drawing/2014/main" id="{00000000-0008-0000-0200-00000B000000}"/>
              </a:ext>
            </a:extLst>
          </xdr:cNvPr>
          <xdr:cNvSpPr>
            <a:spLocks/>
          </xdr:cNvSpPr>
        </xdr:nvSpPr>
        <xdr:spPr>
          <a:xfrm>
            <a:off x="423545" y="528320"/>
            <a:ext cx="50800" cy="0"/>
          </a:xfrm>
          <a:custGeom>
            <a:avLst/>
            <a:gdLst/>
            <a:ahLst/>
            <a:cxnLst/>
            <a:rect l="0" t="0" r="0" b="0"/>
            <a:pathLst>
              <a:path w="16" h="25">
                <a:moveTo>
                  <a:pt x="1" y="20"/>
                </a:moveTo>
                <a:cubicBezTo>
                  <a:pt x="3" y="21"/>
                  <a:pt x="5" y="22"/>
                  <a:pt x="7" y="22"/>
                </a:cubicBezTo>
                <a:cubicBezTo>
                  <a:pt x="10" y="22"/>
                  <a:pt x="12" y="20"/>
                  <a:pt x="12" y="18"/>
                </a:cubicBezTo>
                <a:cubicBezTo>
                  <a:pt x="12" y="16"/>
                  <a:pt x="11" y="15"/>
                  <a:pt x="7" y="14"/>
                </a:cubicBezTo>
                <a:cubicBezTo>
                  <a:pt x="3" y="12"/>
                  <a:pt x="1" y="10"/>
                  <a:pt x="1" y="7"/>
                </a:cubicBezTo>
                <a:cubicBezTo>
                  <a:pt x="1" y="3"/>
                  <a:pt x="4" y="0"/>
                  <a:pt x="9" y="0"/>
                </a:cubicBezTo>
                <a:cubicBezTo>
                  <a:pt x="12" y="0"/>
                  <a:pt x="14" y="0"/>
                  <a:pt x="15" y="1"/>
                </a:cubicBezTo>
                <a:cubicBezTo>
                  <a:pt x="14" y="4"/>
                  <a:pt x="14" y="4"/>
                  <a:pt x="14" y="4"/>
                </a:cubicBezTo>
                <a:cubicBezTo>
                  <a:pt x="13" y="4"/>
                  <a:pt x="11" y="3"/>
                  <a:pt x="9" y="3"/>
                </a:cubicBezTo>
                <a:cubicBezTo>
                  <a:pt x="7" y="3"/>
                  <a:pt x="5" y="4"/>
                  <a:pt x="5" y="6"/>
                </a:cubicBezTo>
                <a:cubicBezTo>
                  <a:pt x="5" y="8"/>
                  <a:pt x="7" y="9"/>
                  <a:pt x="10" y="10"/>
                </a:cubicBezTo>
                <a:cubicBezTo>
                  <a:pt x="14" y="12"/>
                  <a:pt x="16" y="14"/>
                  <a:pt x="16" y="18"/>
                </a:cubicBezTo>
                <a:cubicBezTo>
                  <a:pt x="16" y="22"/>
                  <a:pt x="13" y="25"/>
                  <a:pt x="7" y="25"/>
                </a:cubicBezTo>
                <a:cubicBezTo>
                  <a:pt x="4" y="25"/>
                  <a:pt x="2" y="24"/>
                  <a:pt x="0" y="23"/>
                </a:cubicBezTo>
                <a:lnTo>
                  <a:pt x="1" y="20"/>
                </a:lnTo>
                <a:close/>
              </a:path>
            </a:pathLst>
          </a:custGeom>
          <a:solidFill>
            <a:srgbClr val="0071B1"/>
          </a:solidFill>
          <a:ln w="0" cap="flat" cmpd="sng">
            <a:noFill/>
            <a:prstDash/>
          </a:ln>
        </xdr:spPr>
      </xdr:sp>
      <xdr:sp macro="" textlink="">
        <xdr:nvSpPr>
          <xdr:cNvPr id="12" name="Freeform 43">
            <a:extLst>
              <a:ext uri="{FF2B5EF4-FFF2-40B4-BE49-F238E27FC236}">
                <a16:creationId xmlns="" xmlns:a16="http://schemas.microsoft.com/office/drawing/2014/main" id="{00000000-0008-0000-0200-00000C000000}"/>
              </a:ext>
            </a:extLst>
          </xdr:cNvPr>
          <xdr:cNvSpPr>
            <a:spLocks/>
          </xdr:cNvSpPr>
        </xdr:nvSpPr>
        <xdr:spPr>
          <a:xfrm>
            <a:off x="492125" y="528320"/>
            <a:ext cx="64770" cy="0"/>
          </a:xfrm>
          <a:custGeom>
            <a:avLst/>
            <a:gdLst/>
            <a:ahLst/>
            <a:cxnLst/>
            <a:rect l="0" t="0" r="0" b="0"/>
            <a:pathLst>
              <a:path w="20" h="25">
                <a:moveTo>
                  <a:pt x="20" y="18"/>
                </a:moveTo>
                <a:cubicBezTo>
                  <a:pt x="20" y="20"/>
                  <a:pt x="20" y="22"/>
                  <a:pt x="20" y="24"/>
                </a:cubicBezTo>
                <a:cubicBezTo>
                  <a:pt x="16" y="24"/>
                  <a:pt x="16" y="24"/>
                  <a:pt x="16" y="24"/>
                </a:cubicBezTo>
                <a:cubicBezTo>
                  <a:pt x="16" y="20"/>
                  <a:pt x="16" y="20"/>
                  <a:pt x="16" y="20"/>
                </a:cubicBezTo>
                <a:cubicBezTo>
                  <a:pt x="16" y="20"/>
                  <a:pt x="16" y="20"/>
                  <a:pt x="16" y="20"/>
                </a:cubicBezTo>
                <a:cubicBezTo>
                  <a:pt x="15" y="22"/>
                  <a:pt x="12" y="25"/>
                  <a:pt x="8" y="25"/>
                </a:cubicBezTo>
                <a:cubicBezTo>
                  <a:pt x="4" y="25"/>
                  <a:pt x="0" y="23"/>
                  <a:pt x="0" y="14"/>
                </a:cubicBezTo>
                <a:cubicBezTo>
                  <a:pt x="0" y="0"/>
                  <a:pt x="0" y="0"/>
                  <a:pt x="0" y="0"/>
                </a:cubicBezTo>
                <a:cubicBezTo>
                  <a:pt x="4" y="0"/>
                  <a:pt x="4" y="0"/>
                  <a:pt x="4" y="0"/>
                </a:cubicBezTo>
                <a:cubicBezTo>
                  <a:pt x="4" y="14"/>
                  <a:pt x="4" y="14"/>
                  <a:pt x="4" y="14"/>
                </a:cubicBezTo>
                <a:cubicBezTo>
                  <a:pt x="4" y="18"/>
                  <a:pt x="5" y="21"/>
                  <a:pt x="9" y="21"/>
                </a:cubicBezTo>
                <a:cubicBezTo>
                  <a:pt x="12" y="21"/>
                  <a:pt x="14" y="19"/>
                  <a:pt x="15" y="17"/>
                </a:cubicBezTo>
                <a:cubicBezTo>
                  <a:pt x="15" y="17"/>
                  <a:pt x="16" y="16"/>
                  <a:pt x="16" y="15"/>
                </a:cubicBezTo>
                <a:cubicBezTo>
                  <a:pt x="16" y="0"/>
                  <a:pt x="16" y="0"/>
                  <a:pt x="16" y="0"/>
                </a:cubicBezTo>
                <a:cubicBezTo>
                  <a:pt x="20" y="0"/>
                  <a:pt x="20" y="0"/>
                  <a:pt x="20" y="0"/>
                </a:cubicBezTo>
                <a:lnTo>
                  <a:pt x="20" y="18"/>
                </a:lnTo>
                <a:close/>
              </a:path>
            </a:pathLst>
          </a:custGeom>
          <a:solidFill>
            <a:srgbClr val="0071B1"/>
          </a:solidFill>
          <a:ln w="0" cap="flat" cmpd="sng">
            <a:noFill/>
            <a:prstDash/>
          </a:ln>
        </xdr:spPr>
      </xdr:sp>
      <xdr:sp macro="" textlink="">
        <xdr:nvSpPr>
          <xdr:cNvPr id="13" name="Rectangle 44">
            <a:extLst>
              <a:ext uri="{FF2B5EF4-FFF2-40B4-BE49-F238E27FC236}">
                <a16:creationId xmlns="" xmlns:a16="http://schemas.microsoft.com/office/drawing/2014/main" id="{00000000-0008-0000-0200-00000D000000}"/>
              </a:ext>
            </a:extLst>
          </xdr:cNvPr>
          <xdr:cNvSpPr>
            <a:spLocks/>
          </xdr:cNvSpPr>
        </xdr:nvSpPr>
        <xdr:spPr>
          <a:xfrm>
            <a:off x="578485" y="528320"/>
            <a:ext cx="16510" cy="0"/>
          </a:xfrm>
          <a:prstGeom prst="rect">
            <a:avLst/>
          </a:prstGeom>
          <a:solidFill>
            <a:srgbClr val="0071B1"/>
          </a:solidFill>
          <a:ln w="0" cap="flat" cmpd="sng">
            <a:noFill/>
            <a:prstDash/>
          </a:ln>
        </xdr:spPr>
      </xdr:sp>
      <xdr:sp macro="" textlink="">
        <xdr:nvSpPr>
          <xdr:cNvPr id="14" name="Freeform 45">
            <a:extLst>
              <a:ext uri="{FF2B5EF4-FFF2-40B4-BE49-F238E27FC236}">
                <a16:creationId xmlns="" xmlns:a16="http://schemas.microsoft.com/office/drawing/2014/main" id="{00000000-0008-0000-0200-00000E000000}"/>
              </a:ext>
            </a:extLst>
          </xdr:cNvPr>
          <xdr:cNvSpPr>
            <a:spLocks/>
          </xdr:cNvSpPr>
        </xdr:nvSpPr>
        <xdr:spPr>
          <a:xfrm>
            <a:off x="608330" y="528320"/>
            <a:ext cx="47625" cy="0"/>
          </a:xfrm>
          <a:custGeom>
            <a:avLst/>
            <a:gdLst/>
            <a:ahLst/>
            <a:cxnLst/>
            <a:rect l="0" t="0" r="0" b="0"/>
            <a:pathLst>
              <a:path w="15" h="32">
                <a:moveTo>
                  <a:pt x="8" y="0"/>
                </a:moveTo>
                <a:cubicBezTo>
                  <a:pt x="8" y="7"/>
                  <a:pt x="8" y="7"/>
                  <a:pt x="8" y="7"/>
                </a:cubicBezTo>
                <a:cubicBezTo>
                  <a:pt x="15" y="7"/>
                  <a:pt x="15" y="7"/>
                  <a:pt x="15" y="7"/>
                </a:cubicBezTo>
                <a:cubicBezTo>
                  <a:pt x="15" y="11"/>
                  <a:pt x="15" y="11"/>
                  <a:pt x="15" y="11"/>
                </a:cubicBezTo>
                <a:cubicBezTo>
                  <a:pt x="8" y="11"/>
                  <a:pt x="8" y="11"/>
                  <a:pt x="8" y="11"/>
                </a:cubicBezTo>
                <a:cubicBezTo>
                  <a:pt x="8" y="24"/>
                  <a:pt x="8" y="24"/>
                  <a:pt x="8" y="24"/>
                </a:cubicBezTo>
                <a:cubicBezTo>
                  <a:pt x="8" y="27"/>
                  <a:pt x="9" y="28"/>
                  <a:pt x="12" y="28"/>
                </a:cubicBezTo>
                <a:cubicBezTo>
                  <a:pt x="13" y="28"/>
                  <a:pt x="14" y="28"/>
                  <a:pt x="14" y="28"/>
                </a:cubicBezTo>
                <a:cubicBezTo>
                  <a:pt x="14" y="31"/>
                  <a:pt x="14" y="31"/>
                  <a:pt x="14" y="31"/>
                </a:cubicBezTo>
                <a:cubicBezTo>
                  <a:pt x="14" y="32"/>
                  <a:pt x="12" y="32"/>
                  <a:pt x="11" y="32"/>
                </a:cubicBezTo>
                <a:cubicBezTo>
                  <a:pt x="9" y="32"/>
                  <a:pt x="7" y="31"/>
                  <a:pt x="6" y="30"/>
                </a:cubicBezTo>
                <a:cubicBezTo>
                  <a:pt x="5" y="29"/>
                  <a:pt x="4" y="27"/>
                  <a:pt x="4" y="24"/>
                </a:cubicBezTo>
                <a:cubicBezTo>
                  <a:pt x="4" y="11"/>
                  <a:pt x="4" y="11"/>
                  <a:pt x="4" y="11"/>
                </a:cubicBezTo>
                <a:cubicBezTo>
                  <a:pt x="0" y="11"/>
                  <a:pt x="0" y="11"/>
                  <a:pt x="0" y="11"/>
                </a:cubicBezTo>
                <a:cubicBezTo>
                  <a:pt x="0" y="7"/>
                  <a:pt x="0" y="7"/>
                  <a:pt x="0" y="7"/>
                </a:cubicBezTo>
                <a:cubicBezTo>
                  <a:pt x="4" y="7"/>
                  <a:pt x="4" y="7"/>
                  <a:pt x="4" y="7"/>
                </a:cubicBezTo>
                <a:cubicBezTo>
                  <a:pt x="4" y="1"/>
                  <a:pt x="4" y="1"/>
                  <a:pt x="4" y="1"/>
                </a:cubicBezTo>
                <a:lnTo>
                  <a:pt x="8" y="0"/>
                </a:lnTo>
                <a:close/>
              </a:path>
            </a:pathLst>
          </a:custGeom>
          <a:solidFill>
            <a:srgbClr val="0071B1"/>
          </a:solidFill>
          <a:ln w="0" cap="flat" cmpd="sng">
            <a:noFill/>
            <a:prstDash/>
          </a:ln>
        </xdr:spPr>
      </xdr:sp>
      <xdr:sp macro="" textlink="">
        <xdr:nvSpPr>
          <xdr:cNvPr id="15" name="Freeform 46">
            <a:extLst>
              <a:ext uri="{FF2B5EF4-FFF2-40B4-BE49-F238E27FC236}">
                <a16:creationId xmlns="" xmlns:a16="http://schemas.microsoft.com/office/drawing/2014/main" id="{00000000-0008-0000-0200-00000F000000}"/>
              </a:ext>
            </a:extLst>
          </xdr:cNvPr>
          <xdr:cNvSpPr>
            <a:spLocks/>
          </xdr:cNvSpPr>
        </xdr:nvSpPr>
        <xdr:spPr>
          <a:xfrm>
            <a:off x="666750" y="528320"/>
            <a:ext cx="60960" cy="0"/>
          </a:xfrm>
          <a:custGeom>
            <a:avLst/>
            <a:gdLst/>
            <a:ahLst/>
            <a:cxnLst/>
            <a:rect l="0" t="0" r="0" b="0"/>
            <a:pathLst>
              <a:path w="19" h="25">
                <a:moveTo>
                  <a:pt x="15" y="24"/>
                </a:moveTo>
                <a:cubicBezTo>
                  <a:pt x="15" y="21"/>
                  <a:pt x="15" y="21"/>
                  <a:pt x="15" y="21"/>
                </a:cubicBezTo>
                <a:cubicBezTo>
                  <a:pt x="15" y="21"/>
                  <a:pt x="15" y="21"/>
                  <a:pt x="15" y="21"/>
                </a:cubicBezTo>
                <a:cubicBezTo>
                  <a:pt x="13" y="23"/>
                  <a:pt x="11" y="25"/>
                  <a:pt x="7" y="25"/>
                </a:cubicBezTo>
                <a:cubicBezTo>
                  <a:pt x="2" y="25"/>
                  <a:pt x="0" y="21"/>
                  <a:pt x="0" y="18"/>
                </a:cubicBezTo>
                <a:cubicBezTo>
                  <a:pt x="0" y="12"/>
                  <a:pt x="5" y="9"/>
                  <a:pt x="14" y="9"/>
                </a:cubicBezTo>
                <a:cubicBezTo>
                  <a:pt x="14" y="8"/>
                  <a:pt x="14" y="8"/>
                  <a:pt x="14" y="8"/>
                </a:cubicBezTo>
                <a:cubicBezTo>
                  <a:pt x="14" y="6"/>
                  <a:pt x="14" y="3"/>
                  <a:pt x="9" y="3"/>
                </a:cubicBezTo>
                <a:cubicBezTo>
                  <a:pt x="7" y="3"/>
                  <a:pt x="4" y="4"/>
                  <a:pt x="3" y="5"/>
                </a:cubicBezTo>
                <a:cubicBezTo>
                  <a:pt x="2" y="2"/>
                  <a:pt x="2" y="2"/>
                  <a:pt x="2" y="2"/>
                </a:cubicBezTo>
                <a:cubicBezTo>
                  <a:pt x="4" y="0"/>
                  <a:pt x="6" y="0"/>
                  <a:pt x="9" y="0"/>
                </a:cubicBezTo>
                <a:cubicBezTo>
                  <a:pt x="17" y="0"/>
                  <a:pt x="19" y="5"/>
                  <a:pt x="19" y="10"/>
                </a:cubicBezTo>
                <a:cubicBezTo>
                  <a:pt x="19" y="19"/>
                  <a:pt x="19" y="19"/>
                  <a:pt x="19" y="19"/>
                </a:cubicBezTo>
                <a:cubicBezTo>
                  <a:pt x="19" y="21"/>
                  <a:pt x="19" y="23"/>
                  <a:pt x="19" y="24"/>
                </a:cubicBezTo>
                <a:lnTo>
                  <a:pt x="15" y="24"/>
                </a:lnTo>
                <a:moveTo>
                  <a:pt x="14" y="12"/>
                </a:moveTo>
                <a:cubicBezTo>
                  <a:pt x="10" y="12"/>
                  <a:pt x="4" y="13"/>
                  <a:pt x="4" y="17"/>
                </a:cubicBezTo>
                <a:cubicBezTo>
                  <a:pt x="4" y="20"/>
                  <a:pt x="6" y="22"/>
                  <a:pt x="8" y="22"/>
                </a:cubicBezTo>
                <a:cubicBezTo>
                  <a:pt x="11" y="22"/>
                  <a:pt x="13" y="20"/>
                  <a:pt x="14" y="18"/>
                </a:cubicBezTo>
                <a:cubicBezTo>
                  <a:pt x="14" y="17"/>
                  <a:pt x="14" y="17"/>
                  <a:pt x="14" y="16"/>
                </a:cubicBezTo>
                <a:lnTo>
                  <a:pt x="14" y="12"/>
                </a:lnTo>
                <a:close/>
              </a:path>
            </a:pathLst>
          </a:custGeom>
          <a:solidFill>
            <a:srgbClr val="0071B1"/>
          </a:solidFill>
          <a:ln w="0" cap="flat" cmpd="sng">
            <a:noFill/>
            <a:prstDash/>
          </a:ln>
        </xdr:spPr>
      </xdr:sp>
      <xdr:sp macro="" textlink="">
        <xdr:nvSpPr>
          <xdr:cNvPr id="16" name="Freeform 47">
            <a:extLst>
              <a:ext uri="{FF2B5EF4-FFF2-40B4-BE49-F238E27FC236}">
                <a16:creationId xmlns="" xmlns:a16="http://schemas.microsoft.com/office/drawing/2014/main" id="{00000000-0008-0000-0200-000010000000}"/>
              </a:ext>
            </a:extLst>
          </xdr:cNvPr>
          <xdr:cNvSpPr>
            <a:spLocks/>
          </xdr:cNvSpPr>
        </xdr:nvSpPr>
        <xdr:spPr>
          <a:xfrm>
            <a:off x="750570" y="528320"/>
            <a:ext cx="63500" cy="0"/>
          </a:xfrm>
          <a:custGeom>
            <a:avLst/>
            <a:gdLst/>
            <a:ahLst/>
            <a:cxnLst/>
            <a:rect l="0" t="0" r="0" b="0"/>
            <a:pathLst>
              <a:path w="20" h="24">
                <a:moveTo>
                  <a:pt x="0" y="7"/>
                </a:moveTo>
                <a:cubicBezTo>
                  <a:pt x="0" y="4"/>
                  <a:pt x="0" y="2"/>
                  <a:pt x="0" y="0"/>
                </a:cubicBezTo>
                <a:cubicBezTo>
                  <a:pt x="3" y="0"/>
                  <a:pt x="3" y="0"/>
                  <a:pt x="3" y="0"/>
                </a:cubicBezTo>
                <a:cubicBezTo>
                  <a:pt x="4" y="4"/>
                  <a:pt x="4" y="4"/>
                  <a:pt x="4" y="4"/>
                </a:cubicBezTo>
                <a:cubicBezTo>
                  <a:pt x="4" y="4"/>
                  <a:pt x="4" y="4"/>
                  <a:pt x="4" y="4"/>
                </a:cubicBezTo>
                <a:cubicBezTo>
                  <a:pt x="5" y="2"/>
                  <a:pt x="8" y="0"/>
                  <a:pt x="12" y="0"/>
                </a:cubicBezTo>
                <a:cubicBezTo>
                  <a:pt x="15" y="0"/>
                  <a:pt x="20" y="2"/>
                  <a:pt x="20" y="10"/>
                </a:cubicBezTo>
                <a:cubicBezTo>
                  <a:pt x="20" y="24"/>
                  <a:pt x="20" y="24"/>
                  <a:pt x="20" y="24"/>
                </a:cubicBezTo>
                <a:cubicBezTo>
                  <a:pt x="16" y="24"/>
                  <a:pt x="16" y="24"/>
                  <a:pt x="16" y="24"/>
                </a:cubicBezTo>
                <a:cubicBezTo>
                  <a:pt x="16" y="10"/>
                  <a:pt x="16" y="10"/>
                  <a:pt x="16" y="10"/>
                </a:cubicBezTo>
                <a:cubicBezTo>
                  <a:pt x="16" y="7"/>
                  <a:pt x="15" y="3"/>
                  <a:pt x="10" y="3"/>
                </a:cubicBezTo>
                <a:cubicBezTo>
                  <a:pt x="7" y="3"/>
                  <a:pt x="5" y="5"/>
                  <a:pt x="4" y="8"/>
                </a:cubicBezTo>
                <a:cubicBezTo>
                  <a:pt x="4" y="8"/>
                  <a:pt x="4" y="9"/>
                  <a:pt x="4" y="10"/>
                </a:cubicBezTo>
                <a:cubicBezTo>
                  <a:pt x="4" y="24"/>
                  <a:pt x="4" y="24"/>
                  <a:pt x="4" y="24"/>
                </a:cubicBezTo>
                <a:cubicBezTo>
                  <a:pt x="0" y="24"/>
                  <a:pt x="0" y="24"/>
                  <a:pt x="0" y="24"/>
                </a:cubicBezTo>
                <a:lnTo>
                  <a:pt x="0" y="7"/>
                </a:lnTo>
                <a:close/>
              </a:path>
            </a:pathLst>
          </a:custGeom>
          <a:solidFill>
            <a:srgbClr val="0071B1"/>
          </a:solidFill>
          <a:ln w="0" cap="flat" cmpd="sng">
            <a:noFill/>
            <a:prstDash/>
          </a:ln>
        </xdr:spPr>
      </xdr:sp>
      <xdr:sp macro="" textlink="">
        <xdr:nvSpPr>
          <xdr:cNvPr id="17" name="Freeform 48">
            <a:extLst>
              <a:ext uri="{FF2B5EF4-FFF2-40B4-BE49-F238E27FC236}">
                <a16:creationId xmlns="" xmlns:a16="http://schemas.microsoft.com/office/drawing/2014/main" id="{00000000-0008-0000-0200-000011000000}"/>
              </a:ext>
            </a:extLst>
          </xdr:cNvPr>
          <xdr:cNvSpPr>
            <a:spLocks/>
          </xdr:cNvSpPr>
        </xdr:nvSpPr>
        <xdr:spPr>
          <a:xfrm>
            <a:off x="830580" y="528320"/>
            <a:ext cx="44450" cy="0"/>
          </a:xfrm>
          <a:custGeom>
            <a:avLst/>
            <a:gdLst/>
            <a:ahLst/>
            <a:cxnLst/>
            <a:rect l="0" t="0" r="0" b="0"/>
            <a:pathLst>
              <a:path w="14" h="32">
                <a:moveTo>
                  <a:pt x="8" y="0"/>
                </a:moveTo>
                <a:cubicBezTo>
                  <a:pt x="8" y="7"/>
                  <a:pt x="8" y="7"/>
                  <a:pt x="8" y="7"/>
                </a:cubicBezTo>
                <a:cubicBezTo>
                  <a:pt x="14" y="7"/>
                  <a:pt x="14" y="7"/>
                  <a:pt x="14" y="7"/>
                </a:cubicBezTo>
                <a:cubicBezTo>
                  <a:pt x="14" y="11"/>
                  <a:pt x="14" y="11"/>
                  <a:pt x="14" y="11"/>
                </a:cubicBezTo>
                <a:cubicBezTo>
                  <a:pt x="8" y="11"/>
                  <a:pt x="8" y="11"/>
                  <a:pt x="8" y="11"/>
                </a:cubicBezTo>
                <a:cubicBezTo>
                  <a:pt x="8" y="24"/>
                  <a:pt x="8" y="24"/>
                  <a:pt x="8" y="24"/>
                </a:cubicBezTo>
                <a:cubicBezTo>
                  <a:pt x="8" y="27"/>
                  <a:pt x="8" y="28"/>
                  <a:pt x="11" y="28"/>
                </a:cubicBezTo>
                <a:cubicBezTo>
                  <a:pt x="12" y="28"/>
                  <a:pt x="13" y="28"/>
                  <a:pt x="13" y="28"/>
                </a:cubicBezTo>
                <a:cubicBezTo>
                  <a:pt x="14" y="31"/>
                  <a:pt x="14" y="31"/>
                  <a:pt x="14" y="31"/>
                </a:cubicBezTo>
                <a:cubicBezTo>
                  <a:pt x="13" y="32"/>
                  <a:pt x="11" y="32"/>
                  <a:pt x="10" y="32"/>
                </a:cubicBezTo>
                <a:cubicBezTo>
                  <a:pt x="8" y="32"/>
                  <a:pt x="6" y="31"/>
                  <a:pt x="5" y="30"/>
                </a:cubicBezTo>
                <a:cubicBezTo>
                  <a:pt x="4" y="29"/>
                  <a:pt x="3" y="27"/>
                  <a:pt x="3" y="24"/>
                </a:cubicBezTo>
                <a:cubicBezTo>
                  <a:pt x="3" y="11"/>
                  <a:pt x="3" y="11"/>
                  <a:pt x="3" y="11"/>
                </a:cubicBezTo>
                <a:cubicBezTo>
                  <a:pt x="0" y="11"/>
                  <a:pt x="0" y="11"/>
                  <a:pt x="0" y="11"/>
                </a:cubicBezTo>
                <a:cubicBezTo>
                  <a:pt x="0" y="7"/>
                  <a:pt x="0" y="7"/>
                  <a:pt x="0" y="7"/>
                </a:cubicBezTo>
                <a:cubicBezTo>
                  <a:pt x="3" y="7"/>
                  <a:pt x="3" y="7"/>
                  <a:pt x="3" y="7"/>
                </a:cubicBezTo>
                <a:cubicBezTo>
                  <a:pt x="3" y="1"/>
                  <a:pt x="3" y="1"/>
                  <a:pt x="3" y="1"/>
                </a:cubicBezTo>
                <a:lnTo>
                  <a:pt x="8" y="0"/>
                </a:lnTo>
                <a:close/>
              </a:path>
            </a:pathLst>
          </a:custGeom>
          <a:solidFill>
            <a:srgbClr val="0071B1"/>
          </a:solidFill>
          <a:ln w="0" cap="flat" cmpd="sng">
            <a:noFill/>
            <a:prstDash/>
          </a:ln>
        </xdr:spPr>
      </xdr:sp>
      <xdr:sp macro="" textlink="">
        <xdr:nvSpPr>
          <xdr:cNvPr id="18" name="Freeform 49">
            <a:extLst>
              <a:ext uri="{FF2B5EF4-FFF2-40B4-BE49-F238E27FC236}">
                <a16:creationId xmlns="" xmlns:a16="http://schemas.microsoft.com/office/drawing/2014/main" id="{00000000-0008-0000-0200-000012000000}"/>
              </a:ext>
            </a:extLst>
          </xdr:cNvPr>
          <xdr:cNvSpPr>
            <a:spLocks/>
          </xdr:cNvSpPr>
        </xdr:nvSpPr>
        <xdr:spPr>
          <a:xfrm>
            <a:off x="885825" y="528320"/>
            <a:ext cx="51434" cy="0"/>
          </a:xfrm>
          <a:custGeom>
            <a:avLst/>
            <a:gdLst/>
            <a:ahLst/>
            <a:cxnLst/>
            <a:rect l="0" t="0" r="0" b="0"/>
            <a:pathLst>
              <a:path w="16" h="25">
                <a:moveTo>
                  <a:pt x="1" y="20"/>
                </a:moveTo>
                <a:cubicBezTo>
                  <a:pt x="3" y="21"/>
                  <a:pt x="5" y="22"/>
                  <a:pt x="7" y="22"/>
                </a:cubicBezTo>
                <a:cubicBezTo>
                  <a:pt x="10" y="22"/>
                  <a:pt x="12" y="20"/>
                  <a:pt x="12" y="18"/>
                </a:cubicBezTo>
                <a:cubicBezTo>
                  <a:pt x="12" y="16"/>
                  <a:pt x="11" y="15"/>
                  <a:pt x="7" y="14"/>
                </a:cubicBezTo>
                <a:cubicBezTo>
                  <a:pt x="3" y="12"/>
                  <a:pt x="1" y="10"/>
                  <a:pt x="1" y="7"/>
                </a:cubicBezTo>
                <a:cubicBezTo>
                  <a:pt x="1" y="3"/>
                  <a:pt x="4" y="0"/>
                  <a:pt x="9" y="0"/>
                </a:cubicBezTo>
                <a:cubicBezTo>
                  <a:pt x="12" y="0"/>
                  <a:pt x="14" y="0"/>
                  <a:pt x="15" y="1"/>
                </a:cubicBezTo>
                <a:cubicBezTo>
                  <a:pt x="14" y="4"/>
                  <a:pt x="14" y="4"/>
                  <a:pt x="14" y="4"/>
                </a:cubicBezTo>
                <a:cubicBezTo>
                  <a:pt x="13" y="4"/>
                  <a:pt x="11" y="3"/>
                  <a:pt x="9" y="3"/>
                </a:cubicBezTo>
                <a:cubicBezTo>
                  <a:pt x="7" y="3"/>
                  <a:pt x="5" y="4"/>
                  <a:pt x="5" y="6"/>
                </a:cubicBezTo>
                <a:cubicBezTo>
                  <a:pt x="5" y="8"/>
                  <a:pt x="7" y="9"/>
                  <a:pt x="10" y="10"/>
                </a:cubicBezTo>
                <a:cubicBezTo>
                  <a:pt x="14" y="12"/>
                  <a:pt x="16" y="14"/>
                  <a:pt x="16" y="18"/>
                </a:cubicBezTo>
                <a:cubicBezTo>
                  <a:pt x="16" y="22"/>
                  <a:pt x="13" y="25"/>
                  <a:pt x="7" y="25"/>
                </a:cubicBezTo>
                <a:cubicBezTo>
                  <a:pt x="4" y="25"/>
                  <a:pt x="2" y="24"/>
                  <a:pt x="0" y="23"/>
                </a:cubicBezTo>
                <a:lnTo>
                  <a:pt x="1" y="20"/>
                </a:lnTo>
                <a:close/>
              </a:path>
            </a:pathLst>
          </a:custGeom>
          <a:solidFill>
            <a:srgbClr val="0071B1"/>
          </a:solidFill>
          <a:ln w="0" cap="flat" cmpd="sng">
            <a:noFill/>
            <a:prstDash/>
          </a:ln>
        </xdr:spPr>
      </xdr:sp>
      <xdr:sp macro="" textlink="">
        <xdr:nvSpPr>
          <xdr:cNvPr id="19" name="Freeform 50">
            <a:extLst>
              <a:ext uri="{FF2B5EF4-FFF2-40B4-BE49-F238E27FC236}">
                <a16:creationId xmlns="" xmlns:a16="http://schemas.microsoft.com/office/drawing/2014/main" id="{00000000-0008-0000-0200-000013000000}"/>
              </a:ext>
            </a:extLst>
          </xdr:cNvPr>
          <xdr:cNvSpPr>
            <a:spLocks/>
          </xdr:cNvSpPr>
        </xdr:nvSpPr>
        <xdr:spPr>
          <a:xfrm>
            <a:off x="988695" y="528320"/>
            <a:ext cx="67310" cy="0"/>
          </a:xfrm>
          <a:custGeom>
            <a:avLst/>
            <a:gdLst/>
            <a:ahLst/>
            <a:cxnLst/>
            <a:rect l="0" t="0" r="0" b="0"/>
            <a:pathLst>
              <a:path w="21" h="34">
                <a:moveTo>
                  <a:pt x="0" y="1"/>
                </a:moveTo>
                <a:cubicBezTo>
                  <a:pt x="3" y="1"/>
                  <a:pt x="5" y="0"/>
                  <a:pt x="9" y="0"/>
                </a:cubicBezTo>
                <a:cubicBezTo>
                  <a:pt x="13" y="0"/>
                  <a:pt x="16" y="1"/>
                  <a:pt x="18" y="3"/>
                </a:cubicBezTo>
                <a:cubicBezTo>
                  <a:pt x="20" y="5"/>
                  <a:pt x="21" y="7"/>
                  <a:pt x="21" y="10"/>
                </a:cubicBezTo>
                <a:cubicBezTo>
                  <a:pt x="21" y="13"/>
                  <a:pt x="20" y="16"/>
                  <a:pt x="19" y="17"/>
                </a:cubicBezTo>
                <a:cubicBezTo>
                  <a:pt x="16" y="20"/>
                  <a:pt x="13" y="21"/>
                  <a:pt x="8" y="21"/>
                </a:cubicBezTo>
                <a:cubicBezTo>
                  <a:pt x="7" y="21"/>
                  <a:pt x="6" y="21"/>
                  <a:pt x="5" y="21"/>
                </a:cubicBezTo>
                <a:cubicBezTo>
                  <a:pt x="5" y="34"/>
                  <a:pt x="5" y="34"/>
                  <a:pt x="5" y="34"/>
                </a:cubicBezTo>
                <a:cubicBezTo>
                  <a:pt x="0" y="34"/>
                  <a:pt x="0" y="34"/>
                  <a:pt x="0" y="34"/>
                </a:cubicBezTo>
                <a:lnTo>
                  <a:pt x="0" y="1"/>
                </a:lnTo>
                <a:moveTo>
                  <a:pt x="5" y="17"/>
                </a:moveTo>
                <a:cubicBezTo>
                  <a:pt x="6" y="18"/>
                  <a:pt x="7" y="18"/>
                  <a:pt x="8" y="18"/>
                </a:cubicBezTo>
                <a:cubicBezTo>
                  <a:pt x="14" y="18"/>
                  <a:pt x="17" y="15"/>
                  <a:pt x="17" y="10"/>
                </a:cubicBezTo>
                <a:cubicBezTo>
                  <a:pt x="17" y="6"/>
                  <a:pt x="14" y="4"/>
                  <a:pt x="9" y="4"/>
                </a:cubicBezTo>
                <a:cubicBezTo>
                  <a:pt x="7" y="4"/>
                  <a:pt x="6" y="4"/>
                  <a:pt x="5" y="4"/>
                </a:cubicBezTo>
                <a:lnTo>
                  <a:pt x="5" y="17"/>
                </a:lnTo>
                <a:close/>
              </a:path>
            </a:pathLst>
          </a:custGeom>
          <a:solidFill>
            <a:srgbClr val="0071B1"/>
          </a:solidFill>
          <a:ln w="0" cap="flat" cmpd="sng">
            <a:noFill/>
            <a:prstDash/>
          </a:ln>
        </xdr:spPr>
      </xdr:sp>
      <xdr:sp macro="" textlink="">
        <xdr:nvSpPr>
          <xdr:cNvPr id="20" name="Freeform 51">
            <a:extLst>
              <a:ext uri="{FF2B5EF4-FFF2-40B4-BE49-F238E27FC236}">
                <a16:creationId xmlns="" xmlns:a16="http://schemas.microsoft.com/office/drawing/2014/main" id="{00000000-0008-0000-0200-000014000000}"/>
              </a:ext>
            </a:extLst>
          </xdr:cNvPr>
          <xdr:cNvSpPr>
            <a:spLocks/>
          </xdr:cNvSpPr>
        </xdr:nvSpPr>
        <xdr:spPr>
          <a:xfrm>
            <a:off x="1065530" y="528320"/>
            <a:ext cx="74295" cy="0"/>
          </a:xfrm>
          <a:custGeom>
            <a:avLst/>
            <a:gdLst/>
            <a:ahLst/>
            <a:cxnLst/>
            <a:rect l="0" t="0" r="0" b="0"/>
            <a:pathLst>
              <a:path w="23" h="24">
                <a:moveTo>
                  <a:pt x="5" y="0"/>
                </a:moveTo>
                <a:cubicBezTo>
                  <a:pt x="9" y="14"/>
                  <a:pt x="9" y="14"/>
                  <a:pt x="9" y="14"/>
                </a:cubicBezTo>
                <a:cubicBezTo>
                  <a:pt x="10" y="16"/>
                  <a:pt x="11" y="18"/>
                  <a:pt x="11" y="20"/>
                </a:cubicBezTo>
                <a:cubicBezTo>
                  <a:pt x="12" y="20"/>
                  <a:pt x="12" y="20"/>
                  <a:pt x="12" y="20"/>
                </a:cubicBezTo>
                <a:cubicBezTo>
                  <a:pt x="12" y="18"/>
                  <a:pt x="13" y="16"/>
                  <a:pt x="14" y="14"/>
                </a:cubicBezTo>
                <a:cubicBezTo>
                  <a:pt x="18" y="0"/>
                  <a:pt x="18" y="0"/>
                  <a:pt x="18" y="0"/>
                </a:cubicBezTo>
                <a:cubicBezTo>
                  <a:pt x="23" y="0"/>
                  <a:pt x="23" y="0"/>
                  <a:pt x="23" y="0"/>
                </a:cubicBezTo>
                <a:cubicBezTo>
                  <a:pt x="13" y="24"/>
                  <a:pt x="13" y="24"/>
                  <a:pt x="13" y="24"/>
                </a:cubicBezTo>
                <a:cubicBezTo>
                  <a:pt x="9" y="24"/>
                  <a:pt x="9" y="24"/>
                  <a:pt x="9" y="24"/>
                </a:cubicBezTo>
                <a:cubicBezTo>
                  <a:pt x="0" y="0"/>
                  <a:pt x="0" y="0"/>
                  <a:pt x="0" y="0"/>
                </a:cubicBezTo>
                <a:lnTo>
                  <a:pt x="5" y="0"/>
                </a:lnTo>
                <a:close/>
              </a:path>
            </a:pathLst>
          </a:custGeom>
          <a:solidFill>
            <a:srgbClr val="0071B1"/>
          </a:solidFill>
          <a:ln w="0" cap="flat" cmpd="sng">
            <a:noFill/>
            <a:prstDash/>
          </a:ln>
        </xdr:spPr>
      </xdr:sp>
      <xdr:sp macro="" textlink="">
        <xdr:nvSpPr>
          <xdr:cNvPr id="21" name="Freeform 52">
            <a:extLst>
              <a:ext uri="{FF2B5EF4-FFF2-40B4-BE49-F238E27FC236}">
                <a16:creationId xmlns="" xmlns:a16="http://schemas.microsoft.com/office/drawing/2014/main" id="{00000000-0008-0000-0200-000015000000}"/>
              </a:ext>
            </a:extLst>
          </xdr:cNvPr>
          <xdr:cNvSpPr>
            <a:spLocks/>
          </xdr:cNvSpPr>
        </xdr:nvSpPr>
        <xdr:spPr>
          <a:xfrm>
            <a:off x="1143000" y="528320"/>
            <a:ext cx="46990" cy="0"/>
          </a:xfrm>
          <a:custGeom>
            <a:avLst/>
            <a:gdLst/>
            <a:ahLst/>
            <a:cxnLst/>
            <a:rect l="0" t="0" r="0" b="0"/>
            <a:pathLst>
              <a:path w="15" h="32">
                <a:moveTo>
                  <a:pt x="8" y="0"/>
                </a:moveTo>
                <a:cubicBezTo>
                  <a:pt x="8" y="7"/>
                  <a:pt x="8" y="7"/>
                  <a:pt x="8" y="7"/>
                </a:cubicBezTo>
                <a:cubicBezTo>
                  <a:pt x="15" y="7"/>
                  <a:pt x="15" y="7"/>
                  <a:pt x="15" y="7"/>
                </a:cubicBezTo>
                <a:cubicBezTo>
                  <a:pt x="15" y="11"/>
                  <a:pt x="15" y="11"/>
                  <a:pt x="15" y="11"/>
                </a:cubicBezTo>
                <a:cubicBezTo>
                  <a:pt x="8" y="11"/>
                  <a:pt x="8" y="11"/>
                  <a:pt x="8" y="11"/>
                </a:cubicBezTo>
                <a:cubicBezTo>
                  <a:pt x="8" y="24"/>
                  <a:pt x="8" y="24"/>
                  <a:pt x="8" y="24"/>
                </a:cubicBezTo>
                <a:cubicBezTo>
                  <a:pt x="8" y="27"/>
                  <a:pt x="9" y="28"/>
                  <a:pt x="12" y="28"/>
                </a:cubicBezTo>
                <a:cubicBezTo>
                  <a:pt x="13" y="28"/>
                  <a:pt x="14" y="28"/>
                  <a:pt x="14" y="28"/>
                </a:cubicBezTo>
                <a:cubicBezTo>
                  <a:pt x="14" y="31"/>
                  <a:pt x="14" y="31"/>
                  <a:pt x="14" y="31"/>
                </a:cubicBezTo>
                <a:cubicBezTo>
                  <a:pt x="14" y="32"/>
                  <a:pt x="12" y="32"/>
                  <a:pt x="11" y="32"/>
                </a:cubicBezTo>
                <a:cubicBezTo>
                  <a:pt x="8" y="32"/>
                  <a:pt x="7" y="31"/>
                  <a:pt x="6" y="30"/>
                </a:cubicBezTo>
                <a:cubicBezTo>
                  <a:pt x="5" y="29"/>
                  <a:pt x="4" y="27"/>
                  <a:pt x="4" y="24"/>
                </a:cubicBezTo>
                <a:cubicBezTo>
                  <a:pt x="4" y="11"/>
                  <a:pt x="4" y="11"/>
                  <a:pt x="4" y="11"/>
                </a:cubicBezTo>
                <a:cubicBezTo>
                  <a:pt x="0" y="11"/>
                  <a:pt x="0" y="11"/>
                  <a:pt x="0" y="11"/>
                </a:cubicBezTo>
                <a:cubicBezTo>
                  <a:pt x="0" y="7"/>
                  <a:pt x="0" y="7"/>
                  <a:pt x="0" y="7"/>
                </a:cubicBezTo>
                <a:cubicBezTo>
                  <a:pt x="4" y="7"/>
                  <a:pt x="4" y="7"/>
                  <a:pt x="4" y="7"/>
                </a:cubicBezTo>
                <a:cubicBezTo>
                  <a:pt x="4" y="1"/>
                  <a:pt x="4" y="1"/>
                  <a:pt x="4" y="1"/>
                </a:cubicBezTo>
                <a:lnTo>
                  <a:pt x="8" y="0"/>
                </a:lnTo>
                <a:close/>
              </a:path>
            </a:pathLst>
          </a:custGeom>
          <a:solidFill>
            <a:srgbClr val="0071B1"/>
          </a:solidFill>
          <a:ln w="0" cap="flat" cmpd="sng">
            <a:noFill/>
            <a:prstDash/>
          </a:ln>
        </xdr:spPr>
      </xdr:sp>
      <xdr:sp macro="" textlink="">
        <xdr:nvSpPr>
          <xdr:cNvPr id="22" name="Oval 53">
            <a:extLst>
              <a:ext uri="{FF2B5EF4-FFF2-40B4-BE49-F238E27FC236}">
                <a16:creationId xmlns="" xmlns:a16="http://schemas.microsoft.com/office/drawing/2014/main" id="{00000000-0008-0000-0200-000016000000}"/>
              </a:ext>
            </a:extLst>
          </xdr:cNvPr>
          <xdr:cNvSpPr>
            <a:spLocks/>
          </xdr:cNvSpPr>
        </xdr:nvSpPr>
        <xdr:spPr>
          <a:xfrm>
            <a:off x="1199515" y="528320"/>
            <a:ext cx="19050" cy="0"/>
          </a:xfrm>
          <a:prstGeom prst="ellipse">
            <a:avLst/>
          </a:prstGeom>
          <a:solidFill>
            <a:srgbClr val="0071B1"/>
          </a:solidFill>
          <a:ln w="0" cap="flat" cmpd="sng">
            <a:noFill/>
            <a:prstDash/>
          </a:ln>
        </xdr:spPr>
      </xdr:sp>
      <xdr:sp macro="" textlink="">
        <xdr:nvSpPr>
          <xdr:cNvPr id="23" name="Freeform 54">
            <a:extLst>
              <a:ext uri="{FF2B5EF4-FFF2-40B4-BE49-F238E27FC236}">
                <a16:creationId xmlns="" xmlns:a16="http://schemas.microsoft.com/office/drawing/2014/main" id="{00000000-0008-0000-0200-000017000000}"/>
              </a:ext>
            </a:extLst>
          </xdr:cNvPr>
          <xdr:cNvSpPr>
            <a:spLocks/>
          </xdr:cNvSpPr>
        </xdr:nvSpPr>
        <xdr:spPr>
          <a:xfrm>
            <a:off x="1273810" y="528320"/>
            <a:ext cx="57150" cy="0"/>
          </a:xfrm>
          <a:custGeom>
            <a:avLst/>
            <a:gdLst/>
            <a:ahLst/>
            <a:cxnLst/>
            <a:rect l="0" t="0" r="0" b="0"/>
            <a:pathLst>
              <a:path w="42" h="79">
                <a:moveTo>
                  <a:pt x="0" y="0"/>
                </a:moveTo>
                <a:lnTo>
                  <a:pt x="9" y="0"/>
                </a:lnTo>
                <a:lnTo>
                  <a:pt x="9" y="72"/>
                </a:lnTo>
                <a:lnTo>
                  <a:pt x="42" y="72"/>
                </a:lnTo>
                <a:lnTo>
                  <a:pt x="42" y="79"/>
                </a:lnTo>
                <a:lnTo>
                  <a:pt x="0" y="79"/>
                </a:lnTo>
                <a:lnTo>
                  <a:pt x="0" y="0"/>
                </a:lnTo>
                <a:close/>
              </a:path>
            </a:pathLst>
          </a:custGeom>
          <a:solidFill>
            <a:srgbClr val="0071B1"/>
          </a:solidFill>
          <a:ln w="0" cap="flat" cmpd="sng">
            <a:noFill/>
            <a:prstDash/>
          </a:ln>
        </xdr:spPr>
      </xdr:sp>
      <xdr:sp macro="" textlink="">
        <xdr:nvSpPr>
          <xdr:cNvPr id="24" name="Freeform 55">
            <a:extLst>
              <a:ext uri="{FF2B5EF4-FFF2-40B4-BE49-F238E27FC236}">
                <a16:creationId xmlns="" xmlns:a16="http://schemas.microsoft.com/office/drawing/2014/main" id="{00000000-0008-0000-0200-000018000000}"/>
              </a:ext>
            </a:extLst>
          </xdr:cNvPr>
          <xdr:cNvSpPr>
            <a:spLocks/>
          </xdr:cNvSpPr>
        </xdr:nvSpPr>
        <xdr:spPr>
          <a:xfrm>
            <a:off x="1337310" y="528320"/>
            <a:ext cx="48895" cy="0"/>
          </a:xfrm>
          <a:custGeom>
            <a:avLst/>
            <a:gdLst/>
            <a:ahLst/>
            <a:cxnLst/>
            <a:rect l="0" t="0" r="0" b="0"/>
            <a:pathLst>
              <a:path w="15" h="32">
                <a:moveTo>
                  <a:pt x="8" y="0"/>
                </a:moveTo>
                <a:cubicBezTo>
                  <a:pt x="8" y="7"/>
                  <a:pt x="8" y="7"/>
                  <a:pt x="8" y="7"/>
                </a:cubicBezTo>
                <a:cubicBezTo>
                  <a:pt x="15" y="7"/>
                  <a:pt x="15" y="7"/>
                  <a:pt x="15" y="7"/>
                </a:cubicBezTo>
                <a:cubicBezTo>
                  <a:pt x="15" y="11"/>
                  <a:pt x="15" y="11"/>
                  <a:pt x="15" y="11"/>
                </a:cubicBezTo>
                <a:cubicBezTo>
                  <a:pt x="8" y="11"/>
                  <a:pt x="8" y="11"/>
                  <a:pt x="8" y="11"/>
                </a:cubicBezTo>
                <a:cubicBezTo>
                  <a:pt x="8" y="24"/>
                  <a:pt x="8" y="24"/>
                  <a:pt x="8" y="24"/>
                </a:cubicBezTo>
                <a:cubicBezTo>
                  <a:pt x="8" y="27"/>
                  <a:pt x="9" y="28"/>
                  <a:pt x="12" y="28"/>
                </a:cubicBezTo>
                <a:cubicBezTo>
                  <a:pt x="13" y="28"/>
                  <a:pt x="14" y="28"/>
                  <a:pt x="14" y="28"/>
                </a:cubicBezTo>
                <a:cubicBezTo>
                  <a:pt x="14" y="31"/>
                  <a:pt x="14" y="31"/>
                  <a:pt x="14" y="31"/>
                </a:cubicBezTo>
                <a:cubicBezTo>
                  <a:pt x="13" y="32"/>
                  <a:pt x="12" y="32"/>
                  <a:pt x="10" y="32"/>
                </a:cubicBezTo>
                <a:cubicBezTo>
                  <a:pt x="8" y="32"/>
                  <a:pt x="7" y="31"/>
                  <a:pt x="6" y="30"/>
                </a:cubicBezTo>
                <a:cubicBezTo>
                  <a:pt x="4" y="29"/>
                  <a:pt x="4" y="27"/>
                  <a:pt x="4" y="24"/>
                </a:cubicBezTo>
                <a:cubicBezTo>
                  <a:pt x="4" y="11"/>
                  <a:pt x="4" y="11"/>
                  <a:pt x="4" y="11"/>
                </a:cubicBezTo>
                <a:cubicBezTo>
                  <a:pt x="0" y="11"/>
                  <a:pt x="0" y="11"/>
                  <a:pt x="0" y="11"/>
                </a:cubicBezTo>
                <a:cubicBezTo>
                  <a:pt x="0" y="7"/>
                  <a:pt x="0" y="7"/>
                  <a:pt x="0" y="7"/>
                </a:cubicBezTo>
                <a:cubicBezTo>
                  <a:pt x="4" y="7"/>
                  <a:pt x="4" y="7"/>
                  <a:pt x="4" y="7"/>
                </a:cubicBezTo>
                <a:cubicBezTo>
                  <a:pt x="4" y="1"/>
                  <a:pt x="4" y="1"/>
                  <a:pt x="4" y="1"/>
                </a:cubicBezTo>
                <a:lnTo>
                  <a:pt x="8" y="0"/>
                </a:lnTo>
                <a:close/>
              </a:path>
            </a:pathLst>
          </a:custGeom>
          <a:solidFill>
            <a:srgbClr val="0071B1"/>
          </a:solidFill>
          <a:ln w="0" cap="flat" cmpd="sng">
            <a:noFill/>
            <a:prstDash/>
          </a:ln>
        </xdr:spPr>
      </xdr:sp>
      <xdr:sp macro="" textlink="">
        <xdr:nvSpPr>
          <xdr:cNvPr id="25" name="Freeform 56">
            <a:extLst>
              <a:ext uri="{FF2B5EF4-FFF2-40B4-BE49-F238E27FC236}">
                <a16:creationId xmlns="" xmlns:a16="http://schemas.microsoft.com/office/drawing/2014/main" id="{00000000-0008-0000-0200-000019000000}"/>
              </a:ext>
            </a:extLst>
          </xdr:cNvPr>
          <xdr:cNvSpPr>
            <a:spLocks/>
          </xdr:cNvSpPr>
        </xdr:nvSpPr>
        <xdr:spPr>
          <a:xfrm>
            <a:off x="1393190" y="528320"/>
            <a:ext cx="73025" cy="0"/>
          </a:xfrm>
          <a:custGeom>
            <a:avLst/>
            <a:gdLst/>
            <a:ahLst/>
            <a:cxnLst/>
            <a:rect l="0" t="0" r="0" b="0"/>
            <a:pathLst>
              <a:path w="23" h="36">
                <a:moveTo>
                  <a:pt x="23" y="0"/>
                </a:moveTo>
                <a:cubicBezTo>
                  <a:pt x="23" y="29"/>
                  <a:pt x="23" y="29"/>
                  <a:pt x="23" y="29"/>
                </a:cubicBezTo>
                <a:cubicBezTo>
                  <a:pt x="23" y="31"/>
                  <a:pt x="23" y="34"/>
                  <a:pt x="23" y="35"/>
                </a:cubicBezTo>
                <a:cubicBezTo>
                  <a:pt x="19" y="35"/>
                  <a:pt x="19" y="35"/>
                  <a:pt x="19" y="35"/>
                </a:cubicBezTo>
                <a:cubicBezTo>
                  <a:pt x="19" y="31"/>
                  <a:pt x="19" y="31"/>
                  <a:pt x="19" y="31"/>
                </a:cubicBezTo>
                <a:cubicBezTo>
                  <a:pt x="19" y="31"/>
                  <a:pt x="19" y="31"/>
                  <a:pt x="19" y="31"/>
                </a:cubicBezTo>
                <a:cubicBezTo>
                  <a:pt x="18" y="34"/>
                  <a:pt x="15" y="36"/>
                  <a:pt x="11" y="36"/>
                </a:cubicBezTo>
                <a:cubicBezTo>
                  <a:pt x="5" y="36"/>
                  <a:pt x="1" y="31"/>
                  <a:pt x="1" y="24"/>
                </a:cubicBezTo>
                <a:cubicBezTo>
                  <a:pt x="0" y="16"/>
                  <a:pt x="5" y="11"/>
                  <a:pt x="11" y="11"/>
                </a:cubicBezTo>
                <a:cubicBezTo>
                  <a:pt x="15" y="11"/>
                  <a:pt x="18" y="12"/>
                  <a:pt x="19" y="14"/>
                </a:cubicBezTo>
                <a:cubicBezTo>
                  <a:pt x="19" y="14"/>
                  <a:pt x="19" y="14"/>
                  <a:pt x="19" y="14"/>
                </a:cubicBezTo>
                <a:cubicBezTo>
                  <a:pt x="19" y="0"/>
                  <a:pt x="19" y="0"/>
                  <a:pt x="19" y="0"/>
                </a:cubicBezTo>
                <a:lnTo>
                  <a:pt x="23" y="0"/>
                </a:lnTo>
                <a:moveTo>
                  <a:pt x="19" y="21"/>
                </a:moveTo>
                <a:cubicBezTo>
                  <a:pt x="19" y="20"/>
                  <a:pt x="19" y="20"/>
                  <a:pt x="19" y="19"/>
                </a:cubicBezTo>
                <a:cubicBezTo>
                  <a:pt x="18" y="16"/>
                  <a:pt x="16" y="14"/>
                  <a:pt x="12" y="14"/>
                </a:cubicBezTo>
                <a:cubicBezTo>
                  <a:pt x="8" y="14"/>
                  <a:pt x="5" y="18"/>
                  <a:pt x="5" y="23"/>
                </a:cubicBezTo>
                <a:cubicBezTo>
                  <a:pt x="5" y="28"/>
                  <a:pt x="7" y="32"/>
                  <a:pt x="12" y="32"/>
                </a:cubicBezTo>
                <a:cubicBezTo>
                  <a:pt x="15" y="32"/>
                  <a:pt x="18" y="30"/>
                  <a:pt x="19" y="27"/>
                </a:cubicBezTo>
                <a:cubicBezTo>
                  <a:pt x="19" y="27"/>
                  <a:pt x="19" y="26"/>
                  <a:pt x="19" y="25"/>
                </a:cubicBezTo>
                <a:lnTo>
                  <a:pt x="19" y="21"/>
                </a:lnTo>
                <a:close/>
              </a:path>
            </a:pathLst>
          </a:custGeom>
          <a:solidFill>
            <a:srgbClr val="0071B1"/>
          </a:solidFill>
          <a:ln w="0" cap="flat" cmpd="sng">
            <a:noFill/>
            <a:prstDash/>
          </a:ln>
        </xdr:spPr>
      </xdr:sp>
      <xdr:sp macro="" textlink="">
        <xdr:nvSpPr>
          <xdr:cNvPr id="26" name="Oval 57">
            <a:extLst>
              <a:ext uri="{FF2B5EF4-FFF2-40B4-BE49-F238E27FC236}">
                <a16:creationId xmlns="" xmlns:a16="http://schemas.microsoft.com/office/drawing/2014/main" id="{00000000-0008-0000-0200-00001A000000}"/>
              </a:ext>
            </a:extLst>
          </xdr:cNvPr>
          <xdr:cNvSpPr>
            <a:spLocks/>
          </xdr:cNvSpPr>
        </xdr:nvSpPr>
        <xdr:spPr>
          <a:xfrm>
            <a:off x="1486535" y="528320"/>
            <a:ext cx="19050" cy="0"/>
          </a:xfrm>
          <a:prstGeom prst="ellipse">
            <a:avLst/>
          </a:prstGeom>
          <a:solidFill>
            <a:srgbClr val="0071B1"/>
          </a:solidFill>
          <a:ln w="0" cap="flat" cmpd="sng">
            <a:noFill/>
            <a:prstDash/>
          </a:ln>
        </xdr:spPr>
      </xdr:sp>
      <xdr:sp macro="" textlink="">
        <xdr:nvSpPr>
          <xdr:cNvPr id="27" name="Freeform 58">
            <a:extLst>
              <a:ext uri="{FF2B5EF4-FFF2-40B4-BE49-F238E27FC236}">
                <a16:creationId xmlns="" xmlns:a16="http://schemas.microsoft.com/office/drawing/2014/main" id="{00000000-0008-0000-0200-00001B000000}"/>
              </a:ext>
            </a:extLst>
          </xdr:cNvPr>
          <xdr:cNvSpPr>
            <a:spLocks/>
          </xdr:cNvSpPr>
        </xdr:nvSpPr>
        <xdr:spPr>
          <a:xfrm>
            <a:off x="367665" y="528320"/>
            <a:ext cx="137795" cy="0"/>
          </a:xfrm>
          <a:custGeom>
            <a:avLst/>
            <a:gdLst/>
            <a:ahLst/>
            <a:cxnLst/>
            <a:rect l="0" t="0" r="0" b="0"/>
            <a:pathLst>
              <a:path w="43" h="22">
                <a:moveTo>
                  <a:pt x="11" y="0"/>
                </a:moveTo>
                <a:cubicBezTo>
                  <a:pt x="5" y="0"/>
                  <a:pt x="0" y="5"/>
                  <a:pt x="0" y="11"/>
                </a:cubicBezTo>
                <a:cubicBezTo>
                  <a:pt x="0" y="17"/>
                  <a:pt x="5" y="22"/>
                  <a:pt x="11" y="22"/>
                </a:cubicBezTo>
                <a:cubicBezTo>
                  <a:pt x="43" y="22"/>
                  <a:pt x="43" y="22"/>
                  <a:pt x="43" y="22"/>
                </a:cubicBezTo>
                <a:cubicBezTo>
                  <a:pt x="43" y="0"/>
                  <a:pt x="43" y="0"/>
                  <a:pt x="43" y="0"/>
                </a:cubicBezTo>
                <a:lnTo>
                  <a:pt x="11" y="0"/>
                </a:lnTo>
                <a:close/>
              </a:path>
            </a:pathLst>
          </a:custGeom>
          <a:solidFill>
            <a:srgbClr val="E62D35"/>
          </a:solidFill>
          <a:ln w="0" cap="flat" cmpd="sng">
            <a:noFill/>
            <a:prstDash/>
          </a:ln>
        </xdr:spPr>
      </xdr:sp>
      <xdr:sp macro="" textlink="">
        <xdr:nvSpPr>
          <xdr:cNvPr id="28" name="Freeform 59">
            <a:extLst>
              <a:ext uri="{FF2B5EF4-FFF2-40B4-BE49-F238E27FC236}">
                <a16:creationId xmlns="" xmlns:a16="http://schemas.microsoft.com/office/drawing/2014/main" id="{00000000-0008-0000-0200-00001C000000}"/>
              </a:ext>
            </a:extLst>
          </xdr:cNvPr>
          <xdr:cNvSpPr>
            <a:spLocks/>
          </xdr:cNvSpPr>
        </xdr:nvSpPr>
        <xdr:spPr>
          <a:xfrm>
            <a:off x="514985" y="528320"/>
            <a:ext cx="138430" cy="0"/>
          </a:xfrm>
          <a:custGeom>
            <a:avLst/>
            <a:gdLst/>
            <a:ahLst/>
            <a:cxnLst/>
            <a:rect l="0" t="0" r="0" b="0"/>
            <a:pathLst>
              <a:path w="43" h="22">
                <a:moveTo>
                  <a:pt x="32" y="0"/>
                </a:moveTo>
                <a:cubicBezTo>
                  <a:pt x="38" y="0"/>
                  <a:pt x="43" y="5"/>
                  <a:pt x="43" y="11"/>
                </a:cubicBezTo>
                <a:cubicBezTo>
                  <a:pt x="43" y="17"/>
                  <a:pt x="38" y="22"/>
                  <a:pt x="32" y="22"/>
                </a:cubicBezTo>
                <a:cubicBezTo>
                  <a:pt x="0" y="22"/>
                  <a:pt x="0" y="22"/>
                  <a:pt x="0" y="22"/>
                </a:cubicBezTo>
                <a:cubicBezTo>
                  <a:pt x="0" y="0"/>
                  <a:pt x="0" y="0"/>
                  <a:pt x="0" y="0"/>
                </a:cubicBezTo>
                <a:lnTo>
                  <a:pt x="32" y="0"/>
                </a:lnTo>
                <a:close/>
              </a:path>
            </a:pathLst>
          </a:custGeom>
          <a:solidFill>
            <a:srgbClr val="FDC41F"/>
          </a:solidFill>
          <a:ln w="0" cap="flat" cmpd="sng">
            <a:noFill/>
            <a:prstDash/>
          </a:ln>
        </xdr:spPr>
      </xdr:sp>
      <xdr:sp macro="" textlink="">
        <xdr:nvSpPr>
          <xdr:cNvPr id="29" name="Freeform 60">
            <a:extLst>
              <a:ext uri="{FF2B5EF4-FFF2-40B4-BE49-F238E27FC236}">
                <a16:creationId xmlns="" xmlns:a16="http://schemas.microsoft.com/office/drawing/2014/main" id="{00000000-0008-0000-0200-00001D000000}"/>
              </a:ext>
            </a:extLst>
          </xdr:cNvPr>
          <xdr:cNvSpPr>
            <a:spLocks/>
          </xdr:cNvSpPr>
        </xdr:nvSpPr>
        <xdr:spPr>
          <a:xfrm>
            <a:off x="514985" y="528320"/>
            <a:ext cx="235585" cy="0"/>
          </a:xfrm>
          <a:custGeom>
            <a:avLst/>
            <a:gdLst/>
            <a:ahLst/>
            <a:cxnLst/>
            <a:rect l="0" t="0" r="0" b="0"/>
            <a:pathLst>
              <a:path w="73" h="109">
                <a:moveTo>
                  <a:pt x="0" y="0"/>
                </a:moveTo>
                <a:cubicBezTo>
                  <a:pt x="32" y="0"/>
                  <a:pt x="32" y="0"/>
                  <a:pt x="32" y="0"/>
                </a:cubicBezTo>
                <a:cubicBezTo>
                  <a:pt x="55" y="0"/>
                  <a:pt x="73" y="18"/>
                  <a:pt x="73" y="41"/>
                </a:cubicBezTo>
                <a:cubicBezTo>
                  <a:pt x="73" y="63"/>
                  <a:pt x="55" y="82"/>
                  <a:pt x="32" y="82"/>
                </a:cubicBezTo>
                <a:cubicBezTo>
                  <a:pt x="28" y="82"/>
                  <a:pt x="28" y="82"/>
                  <a:pt x="28" y="82"/>
                </a:cubicBezTo>
                <a:cubicBezTo>
                  <a:pt x="28" y="109"/>
                  <a:pt x="28" y="109"/>
                  <a:pt x="28" y="109"/>
                </a:cubicBezTo>
                <a:cubicBezTo>
                  <a:pt x="0" y="109"/>
                  <a:pt x="0" y="109"/>
                  <a:pt x="0" y="109"/>
                </a:cubicBezTo>
                <a:cubicBezTo>
                  <a:pt x="0" y="82"/>
                  <a:pt x="0" y="82"/>
                  <a:pt x="0" y="82"/>
                </a:cubicBezTo>
                <a:cubicBezTo>
                  <a:pt x="0" y="54"/>
                  <a:pt x="0" y="54"/>
                  <a:pt x="0" y="54"/>
                </a:cubicBezTo>
                <a:cubicBezTo>
                  <a:pt x="32" y="54"/>
                  <a:pt x="32" y="54"/>
                  <a:pt x="32" y="54"/>
                </a:cubicBezTo>
                <a:cubicBezTo>
                  <a:pt x="40" y="54"/>
                  <a:pt x="46" y="48"/>
                  <a:pt x="46" y="41"/>
                </a:cubicBezTo>
                <a:cubicBezTo>
                  <a:pt x="46" y="33"/>
                  <a:pt x="40" y="27"/>
                  <a:pt x="32" y="27"/>
                </a:cubicBezTo>
                <a:cubicBezTo>
                  <a:pt x="0" y="27"/>
                  <a:pt x="0" y="27"/>
                  <a:pt x="0" y="27"/>
                </a:cubicBezTo>
                <a:lnTo>
                  <a:pt x="0" y="0"/>
                </a:lnTo>
                <a:close/>
              </a:path>
            </a:pathLst>
          </a:custGeom>
          <a:solidFill>
            <a:srgbClr val="0071B1"/>
          </a:solidFill>
          <a:ln w="0" cap="flat" cmpd="sng">
            <a:noFill/>
            <a:prstDash/>
          </a:ln>
        </xdr:spPr>
      </xdr:sp>
      <xdr:sp macro="" textlink="">
        <xdr:nvSpPr>
          <xdr:cNvPr id="30" name="Freeform 61">
            <a:extLst>
              <a:ext uri="{FF2B5EF4-FFF2-40B4-BE49-F238E27FC236}">
                <a16:creationId xmlns="" xmlns:a16="http://schemas.microsoft.com/office/drawing/2014/main" id="{00000000-0008-0000-0200-00001E000000}"/>
              </a:ext>
            </a:extLst>
          </xdr:cNvPr>
          <xdr:cNvSpPr>
            <a:spLocks/>
          </xdr:cNvSpPr>
        </xdr:nvSpPr>
        <xdr:spPr>
          <a:xfrm>
            <a:off x="183515" y="528320"/>
            <a:ext cx="321945" cy="0"/>
          </a:xfrm>
          <a:custGeom>
            <a:avLst/>
            <a:gdLst/>
            <a:ahLst/>
            <a:cxnLst/>
            <a:rect l="0" t="0" r="0" b="0"/>
            <a:pathLst>
              <a:path w="100" h="176">
                <a:moveTo>
                  <a:pt x="28" y="108"/>
                </a:moveTo>
                <a:cubicBezTo>
                  <a:pt x="28" y="85"/>
                  <a:pt x="46" y="67"/>
                  <a:pt x="68" y="67"/>
                </a:cubicBezTo>
                <a:cubicBezTo>
                  <a:pt x="73" y="67"/>
                  <a:pt x="73" y="67"/>
                  <a:pt x="73" y="67"/>
                </a:cubicBezTo>
                <a:cubicBezTo>
                  <a:pt x="100" y="67"/>
                  <a:pt x="100" y="67"/>
                  <a:pt x="100" y="67"/>
                </a:cubicBezTo>
                <a:cubicBezTo>
                  <a:pt x="100" y="0"/>
                  <a:pt x="100" y="0"/>
                  <a:pt x="100" y="0"/>
                </a:cubicBezTo>
                <a:cubicBezTo>
                  <a:pt x="73" y="0"/>
                  <a:pt x="73" y="0"/>
                  <a:pt x="73" y="0"/>
                </a:cubicBezTo>
                <a:cubicBezTo>
                  <a:pt x="73" y="40"/>
                  <a:pt x="73" y="40"/>
                  <a:pt x="73" y="40"/>
                </a:cubicBezTo>
                <a:cubicBezTo>
                  <a:pt x="68" y="40"/>
                  <a:pt x="68" y="40"/>
                  <a:pt x="68" y="40"/>
                </a:cubicBezTo>
                <a:cubicBezTo>
                  <a:pt x="68" y="40"/>
                  <a:pt x="67" y="40"/>
                  <a:pt x="67" y="40"/>
                </a:cubicBezTo>
                <a:cubicBezTo>
                  <a:pt x="66" y="40"/>
                  <a:pt x="65" y="40"/>
                  <a:pt x="65" y="40"/>
                </a:cubicBezTo>
                <a:cubicBezTo>
                  <a:pt x="64" y="40"/>
                  <a:pt x="64" y="40"/>
                  <a:pt x="63" y="40"/>
                </a:cubicBezTo>
                <a:cubicBezTo>
                  <a:pt x="63" y="40"/>
                  <a:pt x="62" y="40"/>
                  <a:pt x="61" y="40"/>
                </a:cubicBezTo>
                <a:cubicBezTo>
                  <a:pt x="61" y="40"/>
                  <a:pt x="61" y="40"/>
                  <a:pt x="61" y="40"/>
                </a:cubicBezTo>
                <a:cubicBezTo>
                  <a:pt x="61" y="40"/>
                  <a:pt x="60" y="40"/>
                  <a:pt x="60" y="40"/>
                </a:cubicBezTo>
                <a:cubicBezTo>
                  <a:pt x="59" y="41"/>
                  <a:pt x="57" y="41"/>
                  <a:pt x="56" y="41"/>
                </a:cubicBezTo>
                <a:cubicBezTo>
                  <a:pt x="56" y="41"/>
                  <a:pt x="56" y="41"/>
                  <a:pt x="56" y="41"/>
                </a:cubicBezTo>
                <a:cubicBezTo>
                  <a:pt x="56" y="41"/>
                  <a:pt x="56" y="41"/>
                  <a:pt x="56" y="41"/>
                </a:cubicBezTo>
                <a:cubicBezTo>
                  <a:pt x="56" y="41"/>
                  <a:pt x="55" y="41"/>
                  <a:pt x="55" y="41"/>
                </a:cubicBezTo>
                <a:cubicBezTo>
                  <a:pt x="55" y="41"/>
                  <a:pt x="55" y="41"/>
                  <a:pt x="55" y="41"/>
                </a:cubicBezTo>
                <a:cubicBezTo>
                  <a:pt x="54" y="41"/>
                  <a:pt x="54" y="41"/>
                  <a:pt x="53" y="42"/>
                </a:cubicBezTo>
                <a:cubicBezTo>
                  <a:pt x="53" y="42"/>
                  <a:pt x="53" y="42"/>
                  <a:pt x="53" y="42"/>
                </a:cubicBezTo>
                <a:cubicBezTo>
                  <a:pt x="52" y="42"/>
                  <a:pt x="52" y="42"/>
                  <a:pt x="51" y="42"/>
                </a:cubicBezTo>
                <a:cubicBezTo>
                  <a:pt x="51" y="42"/>
                  <a:pt x="51" y="42"/>
                  <a:pt x="51" y="42"/>
                </a:cubicBezTo>
                <a:cubicBezTo>
                  <a:pt x="51" y="42"/>
                  <a:pt x="50" y="42"/>
                  <a:pt x="50" y="42"/>
                </a:cubicBezTo>
                <a:cubicBezTo>
                  <a:pt x="49" y="43"/>
                  <a:pt x="49" y="43"/>
                  <a:pt x="49" y="43"/>
                </a:cubicBezTo>
                <a:cubicBezTo>
                  <a:pt x="49" y="43"/>
                  <a:pt x="49" y="43"/>
                  <a:pt x="48" y="43"/>
                </a:cubicBezTo>
                <a:cubicBezTo>
                  <a:pt x="48" y="43"/>
                  <a:pt x="48" y="43"/>
                  <a:pt x="48" y="43"/>
                </a:cubicBezTo>
                <a:cubicBezTo>
                  <a:pt x="47" y="43"/>
                  <a:pt x="47" y="43"/>
                  <a:pt x="47" y="43"/>
                </a:cubicBezTo>
                <a:cubicBezTo>
                  <a:pt x="46" y="44"/>
                  <a:pt x="46" y="44"/>
                  <a:pt x="46" y="44"/>
                </a:cubicBezTo>
                <a:cubicBezTo>
                  <a:pt x="45" y="44"/>
                  <a:pt x="45" y="44"/>
                  <a:pt x="45" y="44"/>
                </a:cubicBezTo>
                <a:cubicBezTo>
                  <a:pt x="45" y="44"/>
                  <a:pt x="45" y="44"/>
                  <a:pt x="45" y="44"/>
                </a:cubicBezTo>
                <a:cubicBezTo>
                  <a:pt x="44" y="44"/>
                  <a:pt x="44" y="44"/>
                  <a:pt x="44" y="44"/>
                </a:cubicBezTo>
                <a:cubicBezTo>
                  <a:pt x="43" y="45"/>
                  <a:pt x="43" y="45"/>
                  <a:pt x="43" y="45"/>
                </a:cubicBezTo>
                <a:cubicBezTo>
                  <a:pt x="43" y="45"/>
                  <a:pt x="43" y="45"/>
                  <a:pt x="42" y="45"/>
                </a:cubicBezTo>
                <a:cubicBezTo>
                  <a:pt x="42" y="45"/>
                  <a:pt x="42" y="45"/>
                  <a:pt x="42" y="45"/>
                </a:cubicBezTo>
                <a:cubicBezTo>
                  <a:pt x="41" y="45"/>
                  <a:pt x="41" y="46"/>
                  <a:pt x="40" y="46"/>
                </a:cubicBezTo>
                <a:cubicBezTo>
                  <a:pt x="40" y="46"/>
                  <a:pt x="40" y="46"/>
                  <a:pt x="40" y="46"/>
                </a:cubicBezTo>
                <a:cubicBezTo>
                  <a:pt x="40" y="46"/>
                  <a:pt x="39" y="46"/>
                  <a:pt x="39" y="46"/>
                </a:cubicBezTo>
                <a:cubicBezTo>
                  <a:pt x="38" y="47"/>
                  <a:pt x="38" y="47"/>
                  <a:pt x="38" y="47"/>
                </a:cubicBezTo>
                <a:cubicBezTo>
                  <a:pt x="38" y="47"/>
                  <a:pt x="38" y="47"/>
                  <a:pt x="38" y="47"/>
                </a:cubicBezTo>
                <a:cubicBezTo>
                  <a:pt x="37" y="47"/>
                  <a:pt x="37" y="47"/>
                  <a:pt x="37" y="47"/>
                </a:cubicBezTo>
                <a:cubicBezTo>
                  <a:pt x="37" y="48"/>
                  <a:pt x="36" y="48"/>
                  <a:pt x="36" y="48"/>
                </a:cubicBezTo>
                <a:cubicBezTo>
                  <a:pt x="36" y="48"/>
                  <a:pt x="36" y="48"/>
                  <a:pt x="36" y="48"/>
                </a:cubicBezTo>
                <a:cubicBezTo>
                  <a:pt x="35" y="49"/>
                  <a:pt x="35" y="49"/>
                  <a:pt x="35" y="49"/>
                </a:cubicBezTo>
                <a:cubicBezTo>
                  <a:pt x="34" y="49"/>
                  <a:pt x="34" y="49"/>
                  <a:pt x="34" y="49"/>
                </a:cubicBezTo>
                <a:cubicBezTo>
                  <a:pt x="33" y="49"/>
                  <a:pt x="33" y="49"/>
                  <a:pt x="33" y="49"/>
                </a:cubicBezTo>
                <a:cubicBezTo>
                  <a:pt x="33" y="50"/>
                  <a:pt x="33" y="50"/>
                  <a:pt x="33" y="50"/>
                </a:cubicBezTo>
                <a:cubicBezTo>
                  <a:pt x="33" y="50"/>
                  <a:pt x="32" y="50"/>
                  <a:pt x="32" y="50"/>
                </a:cubicBezTo>
                <a:cubicBezTo>
                  <a:pt x="32" y="51"/>
                  <a:pt x="32" y="51"/>
                  <a:pt x="32" y="51"/>
                </a:cubicBezTo>
                <a:cubicBezTo>
                  <a:pt x="31" y="51"/>
                  <a:pt x="31" y="51"/>
                  <a:pt x="31" y="51"/>
                </a:cubicBezTo>
                <a:cubicBezTo>
                  <a:pt x="30" y="51"/>
                  <a:pt x="30" y="51"/>
                  <a:pt x="30" y="51"/>
                </a:cubicBezTo>
                <a:cubicBezTo>
                  <a:pt x="30" y="52"/>
                  <a:pt x="29" y="52"/>
                  <a:pt x="29" y="52"/>
                </a:cubicBezTo>
                <a:cubicBezTo>
                  <a:pt x="29" y="53"/>
                  <a:pt x="29" y="53"/>
                  <a:pt x="29" y="53"/>
                </a:cubicBezTo>
                <a:cubicBezTo>
                  <a:pt x="28" y="53"/>
                  <a:pt x="28" y="53"/>
                  <a:pt x="28" y="53"/>
                </a:cubicBezTo>
                <a:cubicBezTo>
                  <a:pt x="27" y="54"/>
                  <a:pt x="27" y="54"/>
                  <a:pt x="27" y="54"/>
                </a:cubicBezTo>
                <a:cubicBezTo>
                  <a:pt x="27" y="54"/>
                  <a:pt x="27" y="54"/>
                  <a:pt x="26" y="54"/>
                </a:cubicBezTo>
                <a:cubicBezTo>
                  <a:pt x="26" y="55"/>
                  <a:pt x="26" y="55"/>
                  <a:pt x="26" y="55"/>
                </a:cubicBezTo>
                <a:cubicBezTo>
                  <a:pt x="26" y="55"/>
                  <a:pt x="26" y="55"/>
                  <a:pt x="25" y="55"/>
                </a:cubicBezTo>
                <a:cubicBezTo>
                  <a:pt x="25" y="56"/>
                  <a:pt x="25" y="56"/>
                  <a:pt x="25" y="56"/>
                </a:cubicBezTo>
                <a:cubicBezTo>
                  <a:pt x="24" y="56"/>
                  <a:pt x="24" y="56"/>
                  <a:pt x="24" y="56"/>
                </a:cubicBezTo>
                <a:cubicBezTo>
                  <a:pt x="24" y="57"/>
                  <a:pt x="24" y="57"/>
                  <a:pt x="24" y="57"/>
                </a:cubicBezTo>
                <a:cubicBezTo>
                  <a:pt x="23" y="57"/>
                  <a:pt x="23" y="57"/>
                  <a:pt x="23" y="57"/>
                </a:cubicBezTo>
                <a:cubicBezTo>
                  <a:pt x="22" y="58"/>
                  <a:pt x="22" y="58"/>
                  <a:pt x="22" y="58"/>
                </a:cubicBezTo>
                <a:cubicBezTo>
                  <a:pt x="22" y="58"/>
                  <a:pt x="22" y="58"/>
                  <a:pt x="22" y="58"/>
                </a:cubicBezTo>
                <a:cubicBezTo>
                  <a:pt x="21" y="59"/>
                  <a:pt x="21" y="59"/>
                  <a:pt x="21" y="59"/>
                </a:cubicBezTo>
                <a:cubicBezTo>
                  <a:pt x="21" y="59"/>
                  <a:pt x="21" y="59"/>
                  <a:pt x="21" y="59"/>
                </a:cubicBezTo>
                <a:cubicBezTo>
                  <a:pt x="20" y="60"/>
                  <a:pt x="20" y="60"/>
                  <a:pt x="20" y="60"/>
                </a:cubicBezTo>
                <a:cubicBezTo>
                  <a:pt x="20" y="60"/>
                  <a:pt x="19" y="61"/>
                  <a:pt x="19" y="61"/>
                </a:cubicBezTo>
                <a:cubicBezTo>
                  <a:pt x="19" y="61"/>
                  <a:pt x="19" y="61"/>
                  <a:pt x="19" y="61"/>
                </a:cubicBezTo>
                <a:cubicBezTo>
                  <a:pt x="19" y="61"/>
                  <a:pt x="18" y="62"/>
                  <a:pt x="18" y="62"/>
                </a:cubicBezTo>
                <a:cubicBezTo>
                  <a:pt x="18" y="62"/>
                  <a:pt x="18" y="62"/>
                  <a:pt x="18" y="62"/>
                </a:cubicBezTo>
                <a:cubicBezTo>
                  <a:pt x="17" y="63"/>
                  <a:pt x="17" y="63"/>
                  <a:pt x="17" y="63"/>
                </a:cubicBezTo>
                <a:cubicBezTo>
                  <a:pt x="17" y="64"/>
                  <a:pt x="17" y="64"/>
                  <a:pt x="17" y="64"/>
                </a:cubicBezTo>
                <a:cubicBezTo>
                  <a:pt x="16" y="64"/>
                  <a:pt x="16" y="64"/>
                  <a:pt x="16" y="64"/>
                </a:cubicBezTo>
                <a:cubicBezTo>
                  <a:pt x="16" y="65"/>
                  <a:pt x="16" y="65"/>
                  <a:pt x="16" y="65"/>
                </a:cubicBezTo>
                <a:cubicBezTo>
                  <a:pt x="15" y="66"/>
                  <a:pt x="15" y="66"/>
                  <a:pt x="15" y="66"/>
                </a:cubicBezTo>
                <a:cubicBezTo>
                  <a:pt x="15" y="66"/>
                  <a:pt x="15" y="66"/>
                  <a:pt x="15" y="66"/>
                </a:cubicBezTo>
                <a:cubicBezTo>
                  <a:pt x="14" y="67"/>
                  <a:pt x="14" y="67"/>
                  <a:pt x="14" y="67"/>
                </a:cubicBezTo>
                <a:cubicBezTo>
                  <a:pt x="14" y="67"/>
                  <a:pt x="14" y="67"/>
                  <a:pt x="14" y="67"/>
                </a:cubicBezTo>
                <a:cubicBezTo>
                  <a:pt x="14" y="68"/>
                  <a:pt x="13" y="68"/>
                  <a:pt x="13" y="68"/>
                </a:cubicBezTo>
                <a:cubicBezTo>
                  <a:pt x="13" y="69"/>
                  <a:pt x="13" y="69"/>
                  <a:pt x="13" y="69"/>
                </a:cubicBezTo>
                <a:cubicBezTo>
                  <a:pt x="13" y="69"/>
                  <a:pt x="12" y="69"/>
                  <a:pt x="12" y="70"/>
                </a:cubicBezTo>
                <a:cubicBezTo>
                  <a:pt x="12" y="70"/>
                  <a:pt x="12" y="70"/>
                  <a:pt x="12" y="70"/>
                </a:cubicBezTo>
                <a:cubicBezTo>
                  <a:pt x="12" y="70"/>
                  <a:pt x="11" y="71"/>
                  <a:pt x="11" y="71"/>
                </a:cubicBezTo>
                <a:cubicBezTo>
                  <a:pt x="11" y="71"/>
                  <a:pt x="11" y="71"/>
                  <a:pt x="11" y="71"/>
                </a:cubicBezTo>
                <a:cubicBezTo>
                  <a:pt x="11" y="72"/>
                  <a:pt x="10" y="72"/>
                  <a:pt x="10" y="72"/>
                </a:cubicBezTo>
                <a:cubicBezTo>
                  <a:pt x="10" y="73"/>
                  <a:pt x="10" y="73"/>
                  <a:pt x="10" y="73"/>
                </a:cubicBezTo>
                <a:cubicBezTo>
                  <a:pt x="10" y="73"/>
                  <a:pt x="10" y="74"/>
                  <a:pt x="9" y="74"/>
                </a:cubicBezTo>
                <a:cubicBezTo>
                  <a:pt x="9" y="74"/>
                  <a:pt x="9" y="74"/>
                  <a:pt x="9" y="74"/>
                </a:cubicBezTo>
                <a:cubicBezTo>
                  <a:pt x="9" y="75"/>
                  <a:pt x="9" y="75"/>
                  <a:pt x="9" y="75"/>
                </a:cubicBezTo>
                <a:cubicBezTo>
                  <a:pt x="8" y="76"/>
                  <a:pt x="8" y="76"/>
                  <a:pt x="8" y="76"/>
                </a:cubicBezTo>
                <a:cubicBezTo>
                  <a:pt x="8" y="77"/>
                  <a:pt x="8" y="77"/>
                  <a:pt x="8" y="77"/>
                </a:cubicBezTo>
                <a:cubicBezTo>
                  <a:pt x="8" y="77"/>
                  <a:pt x="8" y="77"/>
                  <a:pt x="8" y="77"/>
                </a:cubicBezTo>
                <a:cubicBezTo>
                  <a:pt x="8" y="77"/>
                  <a:pt x="7" y="78"/>
                  <a:pt x="7" y="78"/>
                </a:cubicBezTo>
                <a:cubicBezTo>
                  <a:pt x="7" y="79"/>
                  <a:pt x="7" y="79"/>
                  <a:pt x="7" y="79"/>
                </a:cubicBezTo>
                <a:cubicBezTo>
                  <a:pt x="7" y="79"/>
                  <a:pt x="7" y="79"/>
                  <a:pt x="7" y="79"/>
                </a:cubicBezTo>
                <a:cubicBezTo>
                  <a:pt x="6" y="80"/>
                  <a:pt x="6" y="80"/>
                  <a:pt x="6" y="80"/>
                </a:cubicBezTo>
                <a:cubicBezTo>
                  <a:pt x="6" y="80"/>
                  <a:pt x="6" y="81"/>
                  <a:pt x="6" y="81"/>
                </a:cubicBezTo>
                <a:cubicBezTo>
                  <a:pt x="6" y="81"/>
                  <a:pt x="6" y="81"/>
                  <a:pt x="6" y="81"/>
                </a:cubicBezTo>
                <a:cubicBezTo>
                  <a:pt x="5" y="82"/>
                  <a:pt x="5" y="82"/>
                  <a:pt x="5" y="83"/>
                </a:cubicBezTo>
                <a:cubicBezTo>
                  <a:pt x="5" y="83"/>
                  <a:pt x="5" y="83"/>
                  <a:pt x="5" y="83"/>
                </a:cubicBezTo>
                <a:cubicBezTo>
                  <a:pt x="5" y="84"/>
                  <a:pt x="5" y="84"/>
                  <a:pt x="4" y="84"/>
                </a:cubicBezTo>
                <a:cubicBezTo>
                  <a:pt x="4" y="85"/>
                  <a:pt x="4" y="85"/>
                  <a:pt x="4" y="85"/>
                </a:cubicBezTo>
                <a:cubicBezTo>
                  <a:pt x="4" y="85"/>
                  <a:pt x="4" y="86"/>
                  <a:pt x="4" y="86"/>
                </a:cubicBezTo>
                <a:cubicBezTo>
                  <a:pt x="4" y="86"/>
                  <a:pt x="4" y="86"/>
                  <a:pt x="4" y="86"/>
                </a:cubicBezTo>
                <a:cubicBezTo>
                  <a:pt x="4" y="87"/>
                  <a:pt x="4" y="87"/>
                  <a:pt x="3" y="87"/>
                </a:cubicBezTo>
                <a:cubicBezTo>
                  <a:pt x="3" y="88"/>
                  <a:pt x="3" y="88"/>
                  <a:pt x="3" y="88"/>
                </a:cubicBezTo>
                <a:cubicBezTo>
                  <a:pt x="3" y="89"/>
                  <a:pt x="3" y="89"/>
                  <a:pt x="3" y="89"/>
                </a:cubicBezTo>
                <a:cubicBezTo>
                  <a:pt x="3" y="89"/>
                  <a:pt x="3" y="89"/>
                  <a:pt x="3" y="89"/>
                </a:cubicBezTo>
                <a:cubicBezTo>
                  <a:pt x="3" y="90"/>
                  <a:pt x="3" y="90"/>
                  <a:pt x="3" y="90"/>
                </a:cubicBezTo>
                <a:cubicBezTo>
                  <a:pt x="2" y="91"/>
                  <a:pt x="2" y="91"/>
                  <a:pt x="2" y="91"/>
                </a:cubicBezTo>
                <a:cubicBezTo>
                  <a:pt x="2" y="91"/>
                  <a:pt x="2" y="92"/>
                  <a:pt x="2" y="92"/>
                </a:cubicBezTo>
                <a:cubicBezTo>
                  <a:pt x="2" y="93"/>
                  <a:pt x="2" y="93"/>
                  <a:pt x="2" y="93"/>
                </a:cubicBezTo>
                <a:cubicBezTo>
                  <a:pt x="2" y="93"/>
                  <a:pt x="2" y="93"/>
                  <a:pt x="2" y="94"/>
                </a:cubicBezTo>
                <a:cubicBezTo>
                  <a:pt x="2" y="94"/>
                  <a:pt x="2" y="94"/>
                  <a:pt x="2" y="94"/>
                </a:cubicBezTo>
                <a:cubicBezTo>
                  <a:pt x="2" y="95"/>
                  <a:pt x="1" y="95"/>
                  <a:pt x="1" y="96"/>
                </a:cubicBezTo>
                <a:cubicBezTo>
                  <a:pt x="1" y="96"/>
                  <a:pt x="1" y="96"/>
                  <a:pt x="1" y="96"/>
                </a:cubicBezTo>
                <a:cubicBezTo>
                  <a:pt x="1" y="97"/>
                  <a:pt x="1" y="97"/>
                  <a:pt x="1" y="97"/>
                </a:cubicBezTo>
                <a:cubicBezTo>
                  <a:pt x="1" y="98"/>
                  <a:pt x="1" y="98"/>
                  <a:pt x="1" y="98"/>
                </a:cubicBezTo>
                <a:cubicBezTo>
                  <a:pt x="1" y="98"/>
                  <a:pt x="1" y="99"/>
                  <a:pt x="1" y="99"/>
                </a:cubicBezTo>
                <a:cubicBezTo>
                  <a:pt x="1" y="100"/>
                  <a:pt x="1" y="100"/>
                  <a:pt x="1" y="100"/>
                </a:cubicBezTo>
                <a:cubicBezTo>
                  <a:pt x="1" y="100"/>
                  <a:pt x="1" y="100"/>
                  <a:pt x="1" y="101"/>
                </a:cubicBezTo>
                <a:cubicBezTo>
                  <a:pt x="1" y="101"/>
                  <a:pt x="1" y="101"/>
                  <a:pt x="1" y="101"/>
                </a:cubicBezTo>
                <a:cubicBezTo>
                  <a:pt x="1" y="102"/>
                  <a:pt x="1" y="102"/>
                  <a:pt x="1" y="102"/>
                </a:cubicBezTo>
                <a:cubicBezTo>
                  <a:pt x="0" y="103"/>
                  <a:pt x="0" y="103"/>
                  <a:pt x="0" y="103"/>
                </a:cubicBezTo>
                <a:cubicBezTo>
                  <a:pt x="0" y="103"/>
                  <a:pt x="0" y="104"/>
                  <a:pt x="0" y="104"/>
                </a:cubicBezTo>
                <a:cubicBezTo>
                  <a:pt x="0" y="105"/>
                  <a:pt x="0" y="105"/>
                  <a:pt x="0" y="105"/>
                </a:cubicBezTo>
                <a:cubicBezTo>
                  <a:pt x="0" y="105"/>
                  <a:pt x="0" y="105"/>
                  <a:pt x="0" y="106"/>
                </a:cubicBezTo>
                <a:cubicBezTo>
                  <a:pt x="0" y="106"/>
                  <a:pt x="0" y="106"/>
                  <a:pt x="0" y="106"/>
                </a:cubicBezTo>
                <a:cubicBezTo>
                  <a:pt x="0" y="107"/>
                  <a:pt x="0" y="107"/>
                  <a:pt x="0" y="108"/>
                </a:cubicBezTo>
                <a:cubicBezTo>
                  <a:pt x="0" y="108"/>
                  <a:pt x="0" y="109"/>
                  <a:pt x="0" y="110"/>
                </a:cubicBezTo>
                <a:cubicBezTo>
                  <a:pt x="0" y="110"/>
                  <a:pt x="0" y="110"/>
                  <a:pt x="0" y="110"/>
                </a:cubicBezTo>
                <a:cubicBezTo>
                  <a:pt x="0" y="110"/>
                  <a:pt x="0" y="111"/>
                  <a:pt x="0" y="111"/>
                </a:cubicBezTo>
                <a:cubicBezTo>
                  <a:pt x="0" y="112"/>
                  <a:pt x="0" y="112"/>
                  <a:pt x="0" y="112"/>
                </a:cubicBezTo>
                <a:cubicBezTo>
                  <a:pt x="0" y="112"/>
                  <a:pt x="0" y="112"/>
                  <a:pt x="0" y="113"/>
                </a:cubicBezTo>
                <a:cubicBezTo>
                  <a:pt x="1" y="113"/>
                  <a:pt x="1" y="113"/>
                  <a:pt x="1" y="113"/>
                </a:cubicBezTo>
                <a:cubicBezTo>
                  <a:pt x="1" y="114"/>
                  <a:pt x="1" y="114"/>
                  <a:pt x="1" y="114"/>
                </a:cubicBezTo>
                <a:cubicBezTo>
                  <a:pt x="1" y="115"/>
                  <a:pt x="1" y="115"/>
                  <a:pt x="1" y="115"/>
                </a:cubicBezTo>
                <a:cubicBezTo>
                  <a:pt x="1" y="115"/>
                  <a:pt x="1" y="116"/>
                  <a:pt x="1" y="116"/>
                </a:cubicBezTo>
                <a:cubicBezTo>
                  <a:pt x="1" y="117"/>
                  <a:pt x="1" y="117"/>
                  <a:pt x="1" y="117"/>
                </a:cubicBezTo>
                <a:cubicBezTo>
                  <a:pt x="1" y="117"/>
                  <a:pt x="1" y="117"/>
                  <a:pt x="1" y="118"/>
                </a:cubicBezTo>
                <a:cubicBezTo>
                  <a:pt x="1" y="118"/>
                  <a:pt x="1" y="118"/>
                  <a:pt x="1" y="118"/>
                </a:cubicBezTo>
                <a:cubicBezTo>
                  <a:pt x="1" y="119"/>
                  <a:pt x="1" y="119"/>
                  <a:pt x="1" y="119"/>
                </a:cubicBezTo>
                <a:cubicBezTo>
                  <a:pt x="1" y="120"/>
                  <a:pt x="1" y="120"/>
                  <a:pt x="1" y="120"/>
                </a:cubicBezTo>
                <a:cubicBezTo>
                  <a:pt x="1" y="120"/>
                  <a:pt x="2" y="121"/>
                  <a:pt x="2" y="122"/>
                </a:cubicBezTo>
                <a:cubicBezTo>
                  <a:pt x="2" y="122"/>
                  <a:pt x="2" y="122"/>
                  <a:pt x="2" y="122"/>
                </a:cubicBezTo>
                <a:cubicBezTo>
                  <a:pt x="2" y="122"/>
                  <a:pt x="2" y="123"/>
                  <a:pt x="2" y="123"/>
                </a:cubicBezTo>
                <a:cubicBezTo>
                  <a:pt x="2" y="124"/>
                  <a:pt x="2" y="124"/>
                  <a:pt x="2" y="124"/>
                </a:cubicBezTo>
                <a:cubicBezTo>
                  <a:pt x="2" y="124"/>
                  <a:pt x="2" y="124"/>
                  <a:pt x="2" y="125"/>
                </a:cubicBezTo>
                <a:cubicBezTo>
                  <a:pt x="3" y="125"/>
                  <a:pt x="3" y="125"/>
                  <a:pt x="3" y="125"/>
                </a:cubicBezTo>
                <a:cubicBezTo>
                  <a:pt x="3" y="126"/>
                  <a:pt x="3" y="126"/>
                  <a:pt x="3" y="126"/>
                </a:cubicBezTo>
                <a:cubicBezTo>
                  <a:pt x="3" y="127"/>
                  <a:pt x="3" y="127"/>
                  <a:pt x="3" y="127"/>
                </a:cubicBezTo>
                <a:cubicBezTo>
                  <a:pt x="3" y="128"/>
                  <a:pt x="3" y="128"/>
                  <a:pt x="3" y="128"/>
                </a:cubicBezTo>
                <a:cubicBezTo>
                  <a:pt x="3" y="128"/>
                  <a:pt x="3" y="128"/>
                  <a:pt x="3" y="128"/>
                </a:cubicBezTo>
                <a:cubicBezTo>
                  <a:pt x="4" y="129"/>
                  <a:pt x="4" y="129"/>
                  <a:pt x="4" y="129"/>
                </a:cubicBezTo>
                <a:cubicBezTo>
                  <a:pt x="4" y="130"/>
                  <a:pt x="4" y="130"/>
                  <a:pt x="4" y="130"/>
                </a:cubicBezTo>
                <a:cubicBezTo>
                  <a:pt x="4" y="130"/>
                  <a:pt x="4" y="130"/>
                  <a:pt x="4" y="131"/>
                </a:cubicBezTo>
                <a:cubicBezTo>
                  <a:pt x="4" y="131"/>
                  <a:pt x="4" y="131"/>
                  <a:pt x="4" y="131"/>
                </a:cubicBezTo>
                <a:cubicBezTo>
                  <a:pt x="5" y="132"/>
                  <a:pt x="5" y="132"/>
                  <a:pt x="5" y="132"/>
                </a:cubicBezTo>
                <a:cubicBezTo>
                  <a:pt x="5" y="133"/>
                  <a:pt x="5" y="133"/>
                  <a:pt x="5" y="133"/>
                </a:cubicBezTo>
                <a:cubicBezTo>
                  <a:pt x="5" y="133"/>
                  <a:pt x="5" y="134"/>
                  <a:pt x="6" y="134"/>
                </a:cubicBezTo>
                <a:cubicBezTo>
                  <a:pt x="6" y="135"/>
                  <a:pt x="6" y="135"/>
                  <a:pt x="6" y="135"/>
                </a:cubicBezTo>
                <a:cubicBezTo>
                  <a:pt x="6" y="135"/>
                  <a:pt x="6" y="135"/>
                  <a:pt x="6" y="136"/>
                </a:cubicBezTo>
                <a:cubicBezTo>
                  <a:pt x="7" y="136"/>
                  <a:pt x="7" y="136"/>
                  <a:pt x="7" y="136"/>
                </a:cubicBezTo>
                <a:cubicBezTo>
                  <a:pt x="7" y="137"/>
                  <a:pt x="7" y="137"/>
                  <a:pt x="7" y="137"/>
                </a:cubicBezTo>
                <a:cubicBezTo>
                  <a:pt x="7" y="138"/>
                  <a:pt x="7" y="138"/>
                  <a:pt x="7" y="138"/>
                </a:cubicBezTo>
                <a:cubicBezTo>
                  <a:pt x="7" y="138"/>
                  <a:pt x="8" y="138"/>
                  <a:pt x="8" y="139"/>
                </a:cubicBezTo>
                <a:cubicBezTo>
                  <a:pt x="8" y="139"/>
                  <a:pt x="8" y="139"/>
                  <a:pt x="8" y="139"/>
                </a:cubicBezTo>
                <a:cubicBezTo>
                  <a:pt x="8" y="140"/>
                  <a:pt x="8" y="140"/>
                  <a:pt x="8" y="140"/>
                </a:cubicBezTo>
                <a:cubicBezTo>
                  <a:pt x="9" y="141"/>
                  <a:pt x="9" y="141"/>
                  <a:pt x="9" y="141"/>
                </a:cubicBezTo>
                <a:cubicBezTo>
                  <a:pt x="9" y="141"/>
                  <a:pt x="9" y="141"/>
                  <a:pt x="9" y="141"/>
                </a:cubicBezTo>
                <a:cubicBezTo>
                  <a:pt x="9" y="142"/>
                  <a:pt x="9" y="142"/>
                  <a:pt x="9" y="142"/>
                </a:cubicBezTo>
                <a:cubicBezTo>
                  <a:pt x="10" y="142"/>
                  <a:pt x="10" y="142"/>
                  <a:pt x="10" y="143"/>
                </a:cubicBezTo>
                <a:cubicBezTo>
                  <a:pt x="10" y="143"/>
                  <a:pt x="10" y="143"/>
                  <a:pt x="10" y="143"/>
                </a:cubicBezTo>
                <a:cubicBezTo>
                  <a:pt x="10" y="144"/>
                  <a:pt x="11" y="144"/>
                  <a:pt x="11" y="144"/>
                </a:cubicBezTo>
                <a:cubicBezTo>
                  <a:pt x="11" y="145"/>
                  <a:pt x="11" y="145"/>
                  <a:pt x="11" y="145"/>
                </a:cubicBezTo>
                <a:cubicBezTo>
                  <a:pt x="11" y="145"/>
                  <a:pt x="12" y="145"/>
                  <a:pt x="12" y="146"/>
                </a:cubicBezTo>
                <a:cubicBezTo>
                  <a:pt x="12" y="146"/>
                  <a:pt x="12" y="146"/>
                  <a:pt x="12" y="146"/>
                </a:cubicBezTo>
                <a:cubicBezTo>
                  <a:pt x="12" y="146"/>
                  <a:pt x="13" y="147"/>
                  <a:pt x="13" y="147"/>
                </a:cubicBezTo>
                <a:cubicBezTo>
                  <a:pt x="13" y="148"/>
                  <a:pt x="13" y="148"/>
                  <a:pt x="13" y="148"/>
                </a:cubicBezTo>
                <a:cubicBezTo>
                  <a:pt x="13" y="148"/>
                  <a:pt x="14" y="148"/>
                  <a:pt x="14" y="148"/>
                </a:cubicBezTo>
                <a:cubicBezTo>
                  <a:pt x="14" y="149"/>
                  <a:pt x="14" y="149"/>
                  <a:pt x="14" y="149"/>
                </a:cubicBezTo>
                <a:cubicBezTo>
                  <a:pt x="15" y="150"/>
                  <a:pt x="15" y="150"/>
                  <a:pt x="15" y="150"/>
                </a:cubicBezTo>
                <a:cubicBezTo>
                  <a:pt x="15" y="150"/>
                  <a:pt x="15" y="150"/>
                  <a:pt x="15" y="150"/>
                </a:cubicBezTo>
                <a:cubicBezTo>
                  <a:pt x="16" y="151"/>
                  <a:pt x="16" y="151"/>
                  <a:pt x="16" y="151"/>
                </a:cubicBezTo>
                <a:cubicBezTo>
                  <a:pt x="16" y="151"/>
                  <a:pt x="16" y="151"/>
                  <a:pt x="16" y="151"/>
                </a:cubicBezTo>
                <a:cubicBezTo>
                  <a:pt x="16" y="152"/>
                  <a:pt x="16" y="152"/>
                  <a:pt x="17" y="152"/>
                </a:cubicBezTo>
                <a:cubicBezTo>
                  <a:pt x="17" y="153"/>
                  <a:pt x="17" y="153"/>
                  <a:pt x="17" y="153"/>
                </a:cubicBezTo>
                <a:cubicBezTo>
                  <a:pt x="17" y="153"/>
                  <a:pt x="17" y="153"/>
                  <a:pt x="18" y="153"/>
                </a:cubicBezTo>
                <a:cubicBezTo>
                  <a:pt x="18" y="154"/>
                  <a:pt x="18" y="154"/>
                  <a:pt x="18" y="154"/>
                </a:cubicBezTo>
                <a:cubicBezTo>
                  <a:pt x="18" y="154"/>
                  <a:pt x="19" y="154"/>
                  <a:pt x="19" y="155"/>
                </a:cubicBezTo>
                <a:cubicBezTo>
                  <a:pt x="19" y="155"/>
                  <a:pt x="19" y="155"/>
                  <a:pt x="19" y="155"/>
                </a:cubicBezTo>
                <a:cubicBezTo>
                  <a:pt x="19" y="155"/>
                  <a:pt x="20" y="156"/>
                  <a:pt x="20" y="156"/>
                </a:cubicBezTo>
                <a:cubicBezTo>
                  <a:pt x="21" y="156"/>
                  <a:pt x="21" y="156"/>
                  <a:pt x="21" y="156"/>
                </a:cubicBezTo>
                <a:cubicBezTo>
                  <a:pt x="21" y="156"/>
                  <a:pt x="21" y="157"/>
                  <a:pt x="21" y="157"/>
                </a:cubicBezTo>
                <a:cubicBezTo>
                  <a:pt x="22" y="157"/>
                  <a:pt x="22" y="157"/>
                  <a:pt x="22" y="157"/>
                </a:cubicBezTo>
                <a:cubicBezTo>
                  <a:pt x="22" y="158"/>
                  <a:pt x="22" y="158"/>
                  <a:pt x="22" y="158"/>
                </a:cubicBezTo>
                <a:cubicBezTo>
                  <a:pt x="23" y="158"/>
                  <a:pt x="23" y="158"/>
                  <a:pt x="23" y="158"/>
                </a:cubicBezTo>
                <a:cubicBezTo>
                  <a:pt x="24" y="159"/>
                  <a:pt x="24" y="159"/>
                  <a:pt x="24" y="159"/>
                </a:cubicBezTo>
                <a:cubicBezTo>
                  <a:pt x="24" y="160"/>
                  <a:pt x="24" y="160"/>
                  <a:pt x="24" y="160"/>
                </a:cubicBezTo>
                <a:cubicBezTo>
                  <a:pt x="25" y="160"/>
                  <a:pt x="25" y="160"/>
                  <a:pt x="25" y="160"/>
                </a:cubicBezTo>
                <a:cubicBezTo>
                  <a:pt x="25" y="160"/>
                  <a:pt x="25" y="160"/>
                  <a:pt x="25" y="160"/>
                </a:cubicBezTo>
                <a:cubicBezTo>
                  <a:pt x="26" y="161"/>
                  <a:pt x="26" y="161"/>
                  <a:pt x="26" y="161"/>
                </a:cubicBezTo>
                <a:cubicBezTo>
                  <a:pt x="26" y="161"/>
                  <a:pt x="26" y="161"/>
                  <a:pt x="26" y="161"/>
                </a:cubicBezTo>
                <a:cubicBezTo>
                  <a:pt x="27" y="162"/>
                  <a:pt x="27" y="162"/>
                  <a:pt x="27" y="162"/>
                </a:cubicBezTo>
                <a:cubicBezTo>
                  <a:pt x="28" y="162"/>
                  <a:pt x="28" y="162"/>
                  <a:pt x="28" y="162"/>
                </a:cubicBezTo>
                <a:cubicBezTo>
                  <a:pt x="28" y="163"/>
                  <a:pt x="28" y="163"/>
                  <a:pt x="29" y="163"/>
                </a:cubicBezTo>
                <a:cubicBezTo>
                  <a:pt x="29" y="163"/>
                  <a:pt x="29" y="163"/>
                  <a:pt x="29" y="163"/>
                </a:cubicBezTo>
                <a:cubicBezTo>
                  <a:pt x="29" y="164"/>
                  <a:pt x="30" y="164"/>
                  <a:pt x="30" y="164"/>
                </a:cubicBezTo>
                <a:cubicBezTo>
                  <a:pt x="31" y="164"/>
                  <a:pt x="31" y="164"/>
                  <a:pt x="31" y="164"/>
                </a:cubicBezTo>
                <a:cubicBezTo>
                  <a:pt x="31" y="165"/>
                  <a:pt x="31" y="165"/>
                  <a:pt x="32" y="165"/>
                </a:cubicBezTo>
                <a:cubicBezTo>
                  <a:pt x="32" y="165"/>
                  <a:pt x="32" y="165"/>
                  <a:pt x="32" y="165"/>
                </a:cubicBezTo>
                <a:cubicBezTo>
                  <a:pt x="32" y="166"/>
                  <a:pt x="33" y="166"/>
                  <a:pt x="33" y="166"/>
                </a:cubicBezTo>
                <a:cubicBezTo>
                  <a:pt x="33" y="166"/>
                  <a:pt x="33" y="166"/>
                  <a:pt x="33" y="166"/>
                </a:cubicBezTo>
                <a:cubicBezTo>
                  <a:pt x="34" y="167"/>
                  <a:pt x="34" y="167"/>
                  <a:pt x="34" y="167"/>
                </a:cubicBezTo>
                <a:cubicBezTo>
                  <a:pt x="35" y="167"/>
                  <a:pt x="35" y="167"/>
                  <a:pt x="35" y="167"/>
                </a:cubicBezTo>
                <a:cubicBezTo>
                  <a:pt x="36" y="167"/>
                  <a:pt x="36" y="167"/>
                  <a:pt x="36" y="167"/>
                </a:cubicBezTo>
                <a:cubicBezTo>
                  <a:pt x="36" y="168"/>
                  <a:pt x="36" y="168"/>
                  <a:pt x="36" y="168"/>
                </a:cubicBezTo>
                <a:cubicBezTo>
                  <a:pt x="36" y="168"/>
                  <a:pt x="37" y="168"/>
                  <a:pt x="37" y="168"/>
                </a:cubicBezTo>
                <a:cubicBezTo>
                  <a:pt x="38" y="169"/>
                  <a:pt x="38" y="169"/>
                  <a:pt x="38" y="169"/>
                </a:cubicBezTo>
                <a:cubicBezTo>
                  <a:pt x="38" y="169"/>
                  <a:pt x="38" y="169"/>
                  <a:pt x="38" y="169"/>
                </a:cubicBezTo>
                <a:cubicBezTo>
                  <a:pt x="39" y="169"/>
                  <a:pt x="39" y="169"/>
                  <a:pt x="39" y="169"/>
                </a:cubicBezTo>
                <a:cubicBezTo>
                  <a:pt x="39" y="169"/>
                  <a:pt x="40" y="170"/>
                  <a:pt x="40" y="170"/>
                </a:cubicBezTo>
                <a:cubicBezTo>
                  <a:pt x="40" y="170"/>
                  <a:pt x="40" y="170"/>
                  <a:pt x="40" y="170"/>
                </a:cubicBezTo>
                <a:cubicBezTo>
                  <a:pt x="41" y="170"/>
                  <a:pt x="41" y="170"/>
                  <a:pt x="42" y="171"/>
                </a:cubicBezTo>
                <a:cubicBezTo>
                  <a:pt x="42" y="171"/>
                  <a:pt x="42" y="171"/>
                  <a:pt x="42" y="171"/>
                </a:cubicBezTo>
                <a:cubicBezTo>
                  <a:pt x="43" y="171"/>
                  <a:pt x="43" y="171"/>
                  <a:pt x="43" y="171"/>
                </a:cubicBezTo>
                <a:cubicBezTo>
                  <a:pt x="44" y="171"/>
                  <a:pt x="44" y="171"/>
                  <a:pt x="44" y="171"/>
                </a:cubicBezTo>
                <a:cubicBezTo>
                  <a:pt x="44" y="171"/>
                  <a:pt x="44" y="172"/>
                  <a:pt x="45" y="172"/>
                </a:cubicBezTo>
                <a:cubicBezTo>
                  <a:pt x="45" y="172"/>
                  <a:pt x="45" y="172"/>
                  <a:pt x="45" y="172"/>
                </a:cubicBezTo>
                <a:cubicBezTo>
                  <a:pt x="46" y="172"/>
                  <a:pt x="46" y="172"/>
                  <a:pt x="46" y="172"/>
                </a:cubicBezTo>
                <a:cubicBezTo>
                  <a:pt x="47" y="172"/>
                  <a:pt x="47" y="172"/>
                  <a:pt x="47" y="172"/>
                </a:cubicBezTo>
                <a:cubicBezTo>
                  <a:pt x="47" y="172"/>
                  <a:pt x="47" y="173"/>
                  <a:pt x="48" y="173"/>
                </a:cubicBezTo>
                <a:cubicBezTo>
                  <a:pt x="48" y="173"/>
                  <a:pt x="48" y="173"/>
                  <a:pt x="48" y="173"/>
                </a:cubicBezTo>
                <a:cubicBezTo>
                  <a:pt x="49" y="173"/>
                  <a:pt x="49" y="173"/>
                  <a:pt x="49" y="173"/>
                </a:cubicBezTo>
                <a:cubicBezTo>
                  <a:pt x="50" y="173"/>
                  <a:pt x="50" y="173"/>
                  <a:pt x="50" y="173"/>
                </a:cubicBezTo>
                <a:cubicBezTo>
                  <a:pt x="50" y="173"/>
                  <a:pt x="51" y="174"/>
                  <a:pt x="51" y="174"/>
                </a:cubicBezTo>
                <a:cubicBezTo>
                  <a:pt x="51" y="174"/>
                  <a:pt x="51" y="174"/>
                  <a:pt x="51" y="174"/>
                </a:cubicBezTo>
                <a:cubicBezTo>
                  <a:pt x="52" y="174"/>
                  <a:pt x="52" y="174"/>
                  <a:pt x="53" y="174"/>
                </a:cubicBezTo>
                <a:cubicBezTo>
                  <a:pt x="53" y="174"/>
                  <a:pt x="53" y="174"/>
                  <a:pt x="53" y="174"/>
                </a:cubicBezTo>
                <a:cubicBezTo>
                  <a:pt x="54" y="174"/>
                  <a:pt x="54" y="174"/>
                  <a:pt x="55" y="174"/>
                </a:cubicBezTo>
                <a:cubicBezTo>
                  <a:pt x="55" y="175"/>
                  <a:pt x="55" y="175"/>
                  <a:pt x="55" y="175"/>
                </a:cubicBezTo>
                <a:cubicBezTo>
                  <a:pt x="55" y="175"/>
                  <a:pt x="56" y="175"/>
                  <a:pt x="56" y="175"/>
                </a:cubicBezTo>
                <a:cubicBezTo>
                  <a:pt x="56" y="175"/>
                  <a:pt x="56" y="175"/>
                  <a:pt x="56" y="175"/>
                </a:cubicBezTo>
                <a:cubicBezTo>
                  <a:pt x="56" y="175"/>
                  <a:pt x="56" y="175"/>
                  <a:pt x="56" y="175"/>
                </a:cubicBezTo>
                <a:cubicBezTo>
                  <a:pt x="57" y="175"/>
                  <a:pt x="59" y="175"/>
                  <a:pt x="60" y="175"/>
                </a:cubicBezTo>
                <a:cubicBezTo>
                  <a:pt x="60" y="175"/>
                  <a:pt x="61" y="175"/>
                  <a:pt x="61" y="176"/>
                </a:cubicBezTo>
                <a:cubicBezTo>
                  <a:pt x="61" y="176"/>
                  <a:pt x="61" y="176"/>
                  <a:pt x="61" y="176"/>
                </a:cubicBezTo>
                <a:cubicBezTo>
                  <a:pt x="62" y="176"/>
                  <a:pt x="63" y="176"/>
                  <a:pt x="63" y="176"/>
                </a:cubicBezTo>
                <a:cubicBezTo>
                  <a:pt x="64" y="176"/>
                  <a:pt x="64" y="176"/>
                  <a:pt x="65" y="176"/>
                </a:cubicBezTo>
                <a:cubicBezTo>
                  <a:pt x="65" y="176"/>
                  <a:pt x="66" y="176"/>
                  <a:pt x="67" y="176"/>
                </a:cubicBezTo>
                <a:cubicBezTo>
                  <a:pt x="67" y="176"/>
                  <a:pt x="68" y="176"/>
                  <a:pt x="68" y="176"/>
                </a:cubicBezTo>
                <a:cubicBezTo>
                  <a:pt x="73" y="176"/>
                  <a:pt x="73" y="176"/>
                  <a:pt x="73" y="176"/>
                </a:cubicBezTo>
                <a:cubicBezTo>
                  <a:pt x="100" y="176"/>
                  <a:pt x="100" y="176"/>
                  <a:pt x="100" y="176"/>
                </a:cubicBezTo>
                <a:cubicBezTo>
                  <a:pt x="100" y="149"/>
                  <a:pt x="100" y="149"/>
                  <a:pt x="100" y="149"/>
                </a:cubicBezTo>
                <a:cubicBezTo>
                  <a:pt x="73" y="149"/>
                  <a:pt x="73" y="149"/>
                  <a:pt x="73" y="149"/>
                </a:cubicBezTo>
                <a:cubicBezTo>
                  <a:pt x="68" y="149"/>
                  <a:pt x="68" y="149"/>
                  <a:pt x="68" y="149"/>
                </a:cubicBezTo>
                <a:cubicBezTo>
                  <a:pt x="46" y="149"/>
                  <a:pt x="28" y="130"/>
                  <a:pt x="28" y="108"/>
                </a:cubicBezTo>
                <a:close/>
              </a:path>
            </a:pathLst>
          </a:custGeom>
          <a:solidFill>
            <a:srgbClr val="0071B1"/>
          </a:solidFill>
          <a:ln w="0" cap="flat" cmpd="sng">
            <a:noFill/>
            <a:prstDash/>
          </a:ln>
        </xdr:spPr>
      </xdr:sp>
      <xdr:sp macro="" textlink="">
        <xdr:nvSpPr>
          <xdr:cNvPr id="31" name="Freeform 62">
            <a:extLst>
              <a:ext uri="{FF2B5EF4-FFF2-40B4-BE49-F238E27FC236}">
                <a16:creationId xmlns="" xmlns:a16="http://schemas.microsoft.com/office/drawing/2014/main" id="{00000000-0008-0000-0200-00001F000000}"/>
              </a:ext>
            </a:extLst>
          </xdr:cNvPr>
          <xdr:cNvSpPr>
            <a:spLocks/>
          </xdr:cNvSpPr>
        </xdr:nvSpPr>
        <xdr:spPr>
          <a:xfrm>
            <a:off x="611505" y="528320"/>
            <a:ext cx="148590" cy="0"/>
          </a:xfrm>
          <a:custGeom>
            <a:avLst/>
            <a:gdLst/>
            <a:ahLst/>
            <a:cxnLst/>
            <a:rect l="0" t="0" r="0" b="0"/>
            <a:pathLst>
              <a:path w="46" h="32">
                <a:moveTo>
                  <a:pt x="28" y="5"/>
                </a:moveTo>
                <a:cubicBezTo>
                  <a:pt x="28" y="0"/>
                  <a:pt x="28" y="0"/>
                  <a:pt x="28" y="0"/>
                </a:cubicBezTo>
                <a:cubicBezTo>
                  <a:pt x="25" y="2"/>
                  <a:pt x="22" y="3"/>
                  <a:pt x="18" y="5"/>
                </a:cubicBezTo>
                <a:cubicBezTo>
                  <a:pt x="13" y="7"/>
                  <a:pt x="8" y="8"/>
                  <a:pt x="2" y="8"/>
                </a:cubicBezTo>
                <a:cubicBezTo>
                  <a:pt x="2" y="8"/>
                  <a:pt x="1" y="8"/>
                  <a:pt x="0" y="8"/>
                </a:cubicBezTo>
                <a:cubicBezTo>
                  <a:pt x="0" y="32"/>
                  <a:pt x="0" y="32"/>
                  <a:pt x="0" y="32"/>
                </a:cubicBezTo>
                <a:cubicBezTo>
                  <a:pt x="28" y="32"/>
                  <a:pt x="28" y="32"/>
                  <a:pt x="28" y="32"/>
                </a:cubicBezTo>
                <a:cubicBezTo>
                  <a:pt x="46" y="32"/>
                  <a:pt x="46" y="32"/>
                  <a:pt x="46" y="32"/>
                </a:cubicBezTo>
                <a:cubicBezTo>
                  <a:pt x="46" y="24"/>
                  <a:pt x="46" y="24"/>
                  <a:pt x="46" y="24"/>
                </a:cubicBezTo>
                <a:cubicBezTo>
                  <a:pt x="28" y="24"/>
                  <a:pt x="28" y="24"/>
                  <a:pt x="28" y="24"/>
                </a:cubicBezTo>
                <a:lnTo>
                  <a:pt x="28" y="5"/>
                </a:lnTo>
                <a:close/>
              </a:path>
            </a:pathLst>
          </a:custGeom>
          <a:solidFill>
            <a:srgbClr val="0071B1"/>
          </a:solidFill>
          <a:ln w="0" cap="flat" cmpd="sng">
            <a:noFill/>
            <a:prstDash/>
          </a:ln>
        </xdr:spPr>
      </xdr:sp>
    </xdr:grpSp>
    <xdr:clientData/>
  </xdr:twoCellAnchor>
  <xdr:twoCellAnchor editAs="oneCell">
    <xdr:from>
      <xdr:col>0</xdr:col>
      <xdr:colOff>13335</xdr:colOff>
      <xdr:row>1</xdr:row>
      <xdr:rowOff>57150</xdr:rowOff>
    </xdr:from>
    <xdr:to>
      <xdr:col>1</xdr:col>
      <xdr:colOff>532130</xdr:colOff>
      <xdr:row>1</xdr:row>
      <xdr:rowOff>334645</xdr:rowOff>
    </xdr:to>
    <xdr:pic>
      <xdr:nvPicPr>
        <xdr:cNvPr id="63" name="Picture 62" descr="xl/media/image6.jpeg">
          <a:extLst>
            <a:ext uri="{FF2B5EF4-FFF2-40B4-BE49-F238E27FC236}">
              <a16:creationId xmlns="" xmlns:a16="http://schemas.microsoft.com/office/drawing/2014/main" id="{00000000-0008-0000-0200-00003F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0" y="118745"/>
          <a:ext cx="1128395" cy="277495"/>
        </a:xfrm>
        <a:prstGeom prst="rect">
          <a:avLst/>
        </a:prstGeom>
        <a:noFill/>
        <a:ln w="0" cap="flat" cmpd="sng">
          <a:noFill/>
          <a:prstDash/>
        </a:ln>
      </xdr:spPr>
    </xdr:pic>
    <xdr:clientData/>
  </xdr:twoCellAnchor>
  <xdr:twoCellAnchor editAs="oneCell">
    <xdr:from>
      <xdr:col>6</xdr:col>
      <xdr:colOff>388620</xdr:colOff>
      <xdr:row>1</xdr:row>
      <xdr:rowOff>45720</xdr:rowOff>
    </xdr:from>
    <xdr:to>
      <xdr:col>6</xdr:col>
      <xdr:colOff>1320165</xdr:colOff>
      <xdr:row>1</xdr:row>
      <xdr:rowOff>446405</xdr:rowOff>
    </xdr:to>
    <xdr:pic>
      <xdr:nvPicPr>
        <xdr:cNvPr id="64" name="Picture 63" descr="xl/media/image7.png">
          <a:extLst>
            <a:ext uri="{FF2B5EF4-FFF2-40B4-BE49-F238E27FC236}">
              <a16:creationId xmlns="" xmlns:a16="http://schemas.microsoft.com/office/drawing/2014/main" id="{00000000-0008-0000-0200-000040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t="30646" b="9677"/>
        <a:stretch>
          <a:fillRect/>
        </a:stretch>
      </xdr:blipFill>
      <xdr:spPr>
        <a:xfrm>
          <a:off x="5218430" y="107315"/>
          <a:ext cx="931545" cy="400685"/>
        </a:xfrm>
        <a:prstGeom prst="rect">
          <a:avLst/>
        </a:prstGeom>
        <a:noFill/>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218440</xdr:colOff>
      <xdr:row>0</xdr:row>
      <xdr:rowOff>127635</xdr:rowOff>
    </xdr:from>
    <xdr:to>
      <xdr:col>6</xdr:col>
      <xdr:colOff>111125</xdr:colOff>
      <xdr:row>0</xdr:row>
      <xdr:rowOff>2156460</xdr:rowOff>
    </xdr:to>
    <xdr:pic>
      <xdr:nvPicPr>
        <xdr:cNvPr id="2" name="Picture 4" descr="xl/media/image1.jpeg">
          <a:extLst>
            <a:ext uri="{FF2B5EF4-FFF2-40B4-BE49-F238E27FC236}">
              <a16:creationId xmlns=""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152400" y="65404"/>
          <a:ext cx="9655810" cy="2028826"/>
        </a:xfrm>
        <a:prstGeom prst="rect">
          <a:avLst/>
        </a:prstGeom>
        <a:noFill/>
        <a:ln w="0" cap="flat" cmpd="sng">
          <a:noFill/>
          <a:prstDash/>
        </a:ln>
      </xdr:spPr>
    </xdr:pic>
    <xdr:clientData/>
  </xdr:twoCellAnchor>
  <xdr:twoCellAnchor>
    <xdr:from>
      <xdr:col>2</xdr:col>
      <xdr:colOff>828040</xdr:colOff>
      <xdr:row>77</xdr:row>
      <xdr:rowOff>193040</xdr:rowOff>
    </xdr:from>
    <xdr:to>
      <xdr:col>2</xdr:col>
      <xdr:colOff>2310765</xdr:colOff>
      <xdr:row>79</xdr:row>
      <xdr:rowOff>269875</xdr:rowOff>
    </xdr:to>
    <xdr:pic>
      <xdr:nvPicPr>
        <xdr:cNvPr id="3" name="Picture 1" descr="xl/media/image4.png">
          <a:extLst>
            <a:ext uri="{FF2B5EF4-FFF2-40B4-BE49-F238E27FC236}">
              <a16:creationId xmlns="" xmlns:a16="http://schemas.microsoft.com/office/drawing/2014/main" id="{00000000-0008-0000-03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a:xfrm>
          <a:off x="2552700" y="48946435"/>
          <a:ext cx="1482725" cy="400685"/>
        </a:xfrm>
        <a:prstGeom prst="rect">
          <a:avLst/>
        </a:prstGeom>
        <a:noFill/>
        <a:ln w="0" cap="flat" cmpd="sng">
          <a:noFill/>
          <a:prstDash/>
        </a:ln>
      </xdr:spPr>
    </xdr:pic>
    <xdr:clientData/>
  </xdr:twoCellAnchor>
  <xdr:twoCellAnchor editAs="oneCell">
    <xdr:from>
      <xdr:col>0</xdr:col>
      <xdr:colOff>450215</xdr:colOff>
      <xdr:row>77</xdr:row>
      <xdr:rowOff>121285</xdr:rowOff>
    </xdr:from>
    <xdr:to>
      <xdr:col>1</xdr:col>
      <xdr:colOff>386080</xdr:colOff>
      <xdr:row>78</xdr:row>
      <xdr:rowOff>142240</xdr:rowOff>
    </xdr:to>
    <xdr:pic>
      <xdr:nvPicPr>
        <xdr:cNvPr id="4" name="Picture 3" descr="xl/media/image8.PNG">
          <a:extLst>
            <a:ext uri="{FF2B5EF4-FFF2-40B4-BE49-F238E27FC236}">
              <a16:creationId xmlns="" xmlns:a16="http://schemas.microsoft.com/office/drawing/2014/main" id="{00000000-0008-0000-0300-000004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a:xfrm>
          <a:off x="384175" y="48874680"/>
          <a:ext cx="802640" cy="182880"/>
        </a:xfrm>
        <a:prstGeom prst="rect">
          <a:avLst/>
        </a:prstGeom>
        <a:noFill/>
      </xdr:spPr>
    </xdr:pic>
    <xdr:clientData/>
  </xdr:twoCellAnchor>
  <xdr:twoCellAnchor editAs="oneCell">
    <xdr:from>
      <xdr:col>0</xdr:col>
      <xdr:colOff>79375</xdr:colOff>
      <xdr:row>72</xdr:row>
      <xdr:rowOff>53340</xdr:rowOff>
    </xdr:from>
    <xdr:to>
      <xdr:col>13</xdr:col>
      <xdr:colOff>2684145</xdr:colOff>
      <xdr:row>82</xdr:row>
      <xdr:rowOff>20955</xdr:rowOff>
    </xdr:to>
    <xdr:pic>
      <xdr:nvPicPr>
        <xdr:cNvPr id="5" name="Picture 4" descr="xl/media/image3.PNG">
          <a:extLst>
            <a:ext uri="{FF2B5EF4-FFF2-40B4-BE49-F238E27FC236}">
              <a16:creationId xmlns="" xmlns:a16="http://schemas.microsoft.com/office/drawing/2014/main" id="{00000000-0008-0000-0300-000005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a:xfrm>
          <a:off x="13335" y="47997110"/>
          <a:ext cx="20235545" cy="1729740"/>
        </a:xfrm>
        <a:prstGeom prst="rect">
          <a:avLst/>
        </a:prstGeom>
        <a:noFill/>
      </xdr:spPr>
    </xdr:pic>
    <xdr:clientData/>
  </xdr:twoCellAnchor>
  <xdr:twoCellAnchor>
    <xdr:from>
      <xdr:col>2</xdr:col>
      <xdr:colOff>1669415</xdr:colOff>
      <xdr:row>76</xdr:row>
      <xdr:rowOff>113665</xdr:rowOff>
    </xdr:from>
    <xdr:to>
      <xdr:col>2</xdr:col>
      <xdr:colOff>3152140</xdr:colOff>
      <xdr:row>78</xdr:row>
      <xdr:rowOff>190500</xdr:rowOff>
    </xdr:to>
    <xdr:pic>
      <xdr:nvPicPr>
        <xdr:cNvPr id="6" name="Picture 1" descr="xl/media/image4.png">
          <a:extLst>
            <a:ext uri="{FF2B5EF4-FFF2-40B4-BE49-F238E27FC236}">
              <a16:creationId xmlns="" xmlns:a16="http://schemas.microsoft.com/office/drawing/2014/main" id="{00000000-0008-0000-0300-000006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a:xfrm>
          <a:off x="3394075" y="48705135"/>
          <a:ext cx="1482725" cy="400685"/>
        </a:xfrm>
        <a:prstGeom prst="rect">
          <a:avLst/>
        </a:prstGeom>
        <a:noFill/>
        <a:ln w="0" cap="flat" cmpd="sng">
          <a:noFill/>
          <a:prstDash/>
        </a:ln>
      </xdr:spPr>
    </xdr:pic>
    <xdr:clientData/>
  </xdr:twoCellAnchor>
  <xdr:twoCellAnchor editAs="oneCell">
    <xdr:from>
      <xdr:col>0</xdr:col>
      <xdr:colOff>796925</xdr:colOff>
      <xdr:row>76</xdr:row>
      <xdr:rowOff>146685</xdr:rowOff>
    </xdr:from>
    <xdr:to>
      <xdr:col>2</xdr:col>
      <xdr:colOff>103505</xdr:colOff>
      <xdr:row>79</xdr:row>
      <xdr:rowOff>0</xdr:rowOff>
    </xdr:to>
    <xdr:pic>
      <xdr:nvPicPr>
        <xdr:cNvPr id="7" name="Picture 6" descr="xl/media/image5.png">
          <a:extLst>
            <a:ext uri="{FF2B5EF4-FFF2-40B4-BE49-F238E27FC236}">
              <a16:creationId xmlns="" xmlns:a16="http://schemas.microsoft.com/office/drawing/2014/main" id="{00000000-0008-0000-0300-000007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a:xfrm>
          <a:off x="730885" y="48738155"/>
          <a:ext cx="1097280" cy="339090"/>
        </a:xfrm>
        <a:prstGeom prst="rect">
          <a:avLst/>
        </a:prstGeom>
        <a:noFill/>
      </xdr:spPr>
    </xdr:pic>
    <xdr:clientData/>
  </xdr:twoCellAnchor>
  <xdr:twoCellAnchor editAs="oneCell">
    <xdr:from>
      <xdr:col>12</xdr:col>
      <xdr:colOff>828675</xdr:colOff>
      <xdr:row>0</xdr:row>
      <xdr:rowOff>0</xdr:rowOff>
    </xdr:from>
    <xdr:to>
      <xdr:col>13</xdr:col>
      <xdr:colOff>2199640</xdr:colOff>
      <xdr:row>1</xdr:row>
      <xdr:rowOff>72390</xdr:rowOff>
    </xdr:to>
    <xdr:pic>
      <xdr:nvPicPr>
        <xdr:cNvPr id="8" name="Picture 7" descr="xl/media/image9.png">
          <a:extLst>
            <a:ext uri="{FF2B5EF4-FFF2-40B4-BE49-F238E27FC236}">
              <a16:creationId xmlns="" xmlns:a16="http://schemas.microsoft.com/office/drawing/2014/main" id="{00000000-0008-0000-0300-000008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a:xfrm>
          <a:off x="16802735" y="0"/>
          <a:ext cx="2961640" cy="2558415"/>
        </a:xfrm>
        <a:prstGeom prst="rect">
          <a:avLst/>
        </a:prstGeom>
        <a:noFill/>
      </xdr:spPr>
    </xdr:pic>
    <xdr:clientData/>
  </xdr:twoCellAnchor>
  <xdr:twoCellAnchor>
    <xdr:from>
      <xdr:col>1</xdr:col>
      <xdr:colOff>1017270</xdr:colOff>
      <xdr:row>55</xdr:row>
      <xdr:rowOff>191770</xdr:rowOff>
    </xdr:from>
    <xdr:to>
      <xdr:col>1</xdr:col>
      <xdr:colOff>3068320</xdr:colOff>
      <xdr:row>58</xdr:row>
      <xdr:rowOff>191770</xdr:rowOff>
    </xdr:to>
    <xdr:pic>
      <xdr:nvPicPr>
        <xdr:cNvPr id="9" name="Picture 8" descr="xl/media/image10.png">
          <a:extLst>
            <a:ext uri="{FF2B5EF4-FFF2-40B4-BE49-F238E27FC236}">
              <a16:creationId xmlns="" xmlns:a16="http://schemas.microsoft.com/office/drawing/2014/main" id="{00000000-0008-0000-0300-000009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a:xfrm>
          <a:off x="1818005" y="36105465"/>
          <a:ext cx="2051050" cy="2419350"/>
        </a:xfrm>
        <a:prstGeom prst="rect">
          <a:avLst/>
        </a:prstGeom>
        <a:noFill/>
        <a:ln w="0" cap="flat" cmpd="sng">
          <a:noFill/>
          <a:prstDash/>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84</xdr:row>
      <xdr:rowOff>0</xdr:rowOff>
    </xdr:from>
    <xdr:to>
      <xdr:col>0</xdr:col>
      <xdr:colOff>608330</xdr:colOff>
      <xdr:row>84</xdr:row>
      <xdr:rowOff>86995</xdr:rowOff>
    </xdr:to>
    <xdr:pic>
      <xdr:nvPicPr>
        <xdr:cNvPr id="2" name="Picture 1" descr="xl/media/image8.PNG">
          <a:extLst>
            <a:ext uri="{FF2B5EF4-FFF2-40B4-BE49-F238E27FC236}">
              <a16:creationId xmlns=""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0" y="52925345"/>
          <a:ext cx="608330" cy="86995"/>
        </a:xfrm>
        <a:prstGeom prst="rect">
          <a:avLst/>
        </a:prstGeom>
        <a:noFill/>
      </xdr:spPr>
    </xdr:pic>
    <xdr:clientData/>
  </xdr:twoCellAnchor>
  <xdr:twoCellAnchor editAs="oneCell">
    <xdr:from>
      <xdr:col>0</xdr:col>
      <xdr:colOff>0</xdr:colOff>
      <xdr:row>0</xdr:row>
      <xdr:rowOff>1118235</xdr:rowOff>
    </xdr:from>
    <xdr:to>
      <xdr:col>3</xdr:col>
      <xdr:colOff>137795</xdr:colOff>
      <xdr:row>0</xdr:row>
      <xdr:rowOff>2479040</xdr:rowOff>
    </xdr:to>
    <xdr:pic>
      <xdr:nvPicPr>
        <xdr:cNvPr id="3" name="Picture 2" descr="xl/media/image1.jpeg">
          <a:extLst>
            <a:ext uri="{FF2B5EF4-FFF2-40B4-BE49-F238E27FC236}">
              <a16:creationId xmlns="" xmlns:a16="http://schemas.microsoft.com/office/drawing/2014/main" id="{00000000-0008-0000-04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a:xfrm>
          <a:off x="0" y="1056005"/>
          <a:ext cx="7110095" cy="1360805"/>
        </a:xfrm>
        <a:prstGeom prst="rect">
          <a:avLst/>
        </a:prstGeom>
        <a:noFill/>
        <a:ln w="0" cap="flat" cmpd="sng">
          <a:noFill/>
          <a:prstDash/>
        </a:ln>
      </xdr:spPr>
    </xdr:pic>
    <xdr:clientData/>
  </xdr:twoCellAnchor>
  <xdr:twoCellAnchor editAs="oneCell">
    <xdr:from>
      <xdr:col>0</xdr:col>
      <xdr:colOff>69215</xdr:colOff>
      <xdr:row>111</xdr:row>
      <xdr:rowOff>139700</xdr:rowOff>
    </xdr:from>
    <xdr:to>
      <xdr:col>13</xdr:col>
      <xdr:colOff>225425</xdr:colOff>
      <xdr:row>126</xdr:row>
      <xdr:rowOff>68580</xdr:rowOff>
    </xdr:to>
    <xdr:pic>
      <xdr:nvPicPr>
        <xdr:cNvPr id="34" name="Picture 33" descr="xl/media/image3.PNG">
          <a:extLst>
            <a:ext uri="{FF2B5EF4-FFF2-40B4-BE49-F238E27FC236}">
              <a16:creationId xmlns="" xmlns:a16="http://schemas.microsoft.com/office/drawing/2014/main" id="{00000000-0008-0000-0400-000022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a:xfrm>
          <a:off x="3175" y="72105520"/>
          <a:ext cx="19501485" cy="2357755"/>
        </a:xfrm>
        <a:prstGeom prst="rect">
          <a:avLst/>
        </a:prstGeom>
        <a:noFill/>
      </xdr:spPr>
    </xdr:pic>
    <xdr:clientData/>
  </xdr:twoCellAnchor>
  <xdr:twoCellAnchor>
    <xdr:from>
      <xdr:col>1</xdr:col>
      <xdr:colOff>2205990</xdr:colOff>
      <xdr:row>117</xdr:row>
      <xdr:rowOff>22860</xdr:rowOff>
    </xdr:from>
    <xdr:to>
      <xdr:col>1</xdr:col>
      <xdr:colOff>3689350</xdr:colOff>
      <xdr:row>119</xdr:row>
      <xdr:rowOff>106680</xdr:rowOff>
    </xdr:to>
    <xdr:pic>
      <xdr:nvPicPr>
        <xdr:cNvPr id="35" name="Picture 1" descr="xl/media/image4.png">
          <a:extLst>
            <a:ext uri="{FF2B5EF4-FFF2-40B4-BE49-F238E27FC236}">
              <a16:creationId xmlns="" xmlns:a16="http://schemas.microsoft.com/office/drawing/2014/main" id="{00000000-0008-0000-0400-000023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a:xfrm>
          <a:off x="3063875" y="72960230"/>
          <a:ext cx="1483360" cy="407670"/>
        </a:xfrm>
        <a:prstGeom prst="rect">
          <a:avLst/>
        </a:prstGeom>
        <a:noFill/>
        <a:ln w="0" cap="flat" cmpd="sng">
          <a:noFill/>
          <a:prstDash/>
        </a:ln>
      </xdr:spPr>
    </xdr:pic>
    <xdr:clientData/>
  </xdr:twoCellAnchor>
  <xdr:twoCellAnchor editAs="oneCell">
    <xdr:from>
      <xdr:col>0</xdr:col>
      <xdr:colOff>726440</xdr:colOff>
      <xdr:row>118</xdr:row>
      <xdr:rowOff>36830</xdr:rowOff>
    </xdr:from>
    <xdr:to>
      <xdr:col>1</xdr:col>
      <xdr:colOff>1368425</xdr:colOff>
      <xdr:row>121</xdr:row>
      <xdr:rowOff>52070</xdr:rowOff>
    </xdr:to>
    <xdr:pic>
      <xdr:nvPicPr>
        <xdr:cNvPr id="36" name="Picture 35" descr="xl/media/image8.PNG">
          <a:extLst>
            <a:ext uri="{FF2B5EF4-FFF2-40B4-BE49-F238E27FC236}">
              <a16:creationId xmlns="" xmlns:a16="http://schemas.microsoft.com/office/drawing/2014/main" id="{00000000-0008-0000-0400-00002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660400" y="73136125"/>
          <a:ext cx="1565910" cy="501015"/>
        </a:xfrm>
        <a:prstGeom prst="rect">
          <a:avLst/>
        </a:prstGeom>
        <a:noFill/>
      </xdr:spPr>
    </xdr:pic>
    <xdr:clientData/>
  </xdr:twoCellAnchor>
  <xdr:twoCellAnchor editAs="oneCell">
    <xdr:from>
      <xdr:col>10</xdr:col>
      <xdr:colOff>363220</xdr:colOff>
      <xdr:row>0</xdr:row>
      <xdr:rowOff>333375</xdr:rowOff>
    </xdr:from>
    <xdr:to>
      <xdr:col>12</xdr:col>
      <xdr:colOff>2660015</xdr:colOff>
      <xdr:row>0</xdr:row>
      <xdr:rowOff>3547745</xdr:rowOff>
    </xdr:to>
    <xdr:pic>
      <xdr:nvPicPr>
        <xdr:cNvPr id="37" name="Picture 36" descr="xl/media/image11.png">
          <a:extLst>
            <a:ext uri="{FF2B5EF4-FFF2-40B4-BE49-F238E27FC236}">
              <a16:creationId xmlns="" xmlns:a16="http://schemas.microsoft.com/office/drawing/2014/main" id="{00000000-0008-0000-0400-000025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a:xfrm>
          <a:off x="13575030" y="271145"/>
          <a:ext cx="5649595" cy="3214370"/>
        </a:xfrm>
        <a:prstGeom prst="rect">
          <a:avLst/>
        </a:prstGeom>
        <a:noFill/>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467359</xdr:rowOff>
    </xdr:from>
    <xdr:to>
      <xdr:col>4</xdr:col>
      <xdr:colOff>363855</xdr:colOff>
      <xdr:row>0</xdr:row>
      <xdr:rowOff>2009140</xdr:rowOff>
    </xdr:to>
    <xdr:pic>
      <xdr:nvPicPr>
        <xdr:cNvPr id="2" name="Picture 4" descr="xl/media/image12.jpeg">
          <a:extLst>
            <a:ext uri="{FF2B5EF4-FFF2-40B4-BE49-F238E27FC236}">
              <a16:creationId xmlns="" xmlns:a16="http://schemas.microsoft.com/office/drawing/2014/main" id="{00000000-0008-0000-05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0" y="405130"/>
          <a:ext cx="8298179" cy="1541780"/>
        </a:xfrm>
        <a:prstGeom prst="rect">
          <a:avLst/>
        </a:prstGeom>
        <a:noFill/>
        <a:ln w="0" cap="flat" cmpd="sng">
          <a:noFill/>
          <a:prstDash/>
        </a:ln>
      </xdr:spPr>
    </xdr:pic>
    <xdr:clientData/>
  </xdr:twoCellAnchor>
  <xdr:twoCellAnchor editAs="oneCell">
    <xdr:from>
      <xdr:col>0</xdr:col>
      <xdr:colOff>0</xdr:colOff>
      <xdr:row>77</xdr:row>
      <xdr:rowOff>121285</xdr:rowOff>
    </xdr:from>
    <xdr:to>
      <xdr:col>0</xdr:col>
      <xdr:colOff>801370</xdr:colOff>
      <xdr:row>78</xdr:row>
      <xdr:rowOff>147320</xdr:rowOff>
    </xdr:to>
    <xdr:pic>
      <xdr:nvPicPr>
        <xdr:cNvPr id="4" name="Picture 3" descr="xl/media/image8.PNG">
          <a:extLst>
            <a:ext uri="{FF2B5EF4-FFF2-40B4-BE49-F238E27FC236}">
              <a16:creationId xmlns="" xmlns:a16="http://schemas.microsoft.com/office/drawing/2014/main" id="{00000000-0008-0000-05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a:xfrm>
          <a:off x="0" y="47626905"/>
          <a:ext cx="801370" cy="187960"/>
        </a:xfrm>
        <a:prstGeom prst="rect">
          <a:avLst/>
        </a:prstGeom>
        <a:noFill/>
      </xdr:spPr>
    </xdr:pic>
    <xdr:clientData/>
  </xdr:twoCellAnchor>
  <xdr:twoCellAnchor editAs="oneCell">
    <xdr:from>
      <xdr:col>0</xdr:col>
      <xdr:colOff>0</xdr:colOff>
      <xdr:row>72</xdr:row>
      <xdr:rowOff>53340</xdr:rowOff>
    </xdr:from>
    <xdr:to>
      <xdr:col>1</xdr:col>
      <xdr:colOff>2047240</xdr:colOff>
      <xdr:row>78</xdr:row>
      <xdr:rowOff>125730</xdr:rowOff>
    </xdr:to>
    <xdr:pic>
      <xdr:nvPicPr>
        <xdr:cNvPr id="5" name="Picture 4" descr="xl/media/image3.PNG">
          <a:extLst>
            <a:ext uri="{FF2B5EF4-FFF2-40B4-BE49-F238E27FC236}">
              <a16:creationId xmlns="" xmlns:a16="http://schemas.microsoft.com/office/drawing/2014/main" id="{00000000-0008-0000-0500-000005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a:xfrm>
          <a:off x="0" y="46749335"/>
          <a:ext cx="2971165" cy="1043940"/>
        </a:xfrm>
        <a:prstGeom prst="rect">
          <a:avLst/>
        </a:prstGeom>
        <a:noFill/>
      </xdr:spPr>
    </xdr:pic>
    <xdr:clientData/>
  </xdr:twoCellAnchor>
  <xdr:twoCellAnchor editAs="oneCell">
    <xdr:from>
      <xdr:col>0</xdr:col>
      <xdr:colOff>0</xdr:colOff>
      <xdr:row>77</xdr:row>
      <xdr:rowOff>121285</xdr:rowOff>
    </xdr:from>
    <xdr:to>
      <xdr:col>0</xdr:col>
      <xdr:colOff>506095</xdr:colOff>
      <xdr:row>79</xdr:row>
      <xdr:rowOff>7620</xdr:rowOff>
    </xdr:to>
    <xdr:pic>
      <xdr:nvPicPr>
        <xdr:cNvPr id="7" name="Picture 6" descr="xl/media/image13.png">
          <a:extLst>
            <a:ext uri="{FF2B5EF4-FFF2-40B4-BE49-F238E27FC236}">
              <a16:creationId xmlns="" xmlns:a16="http://schemas.microsoft.com/office/drawing/2014/main" id="{00000000-0008-0000-0500-000007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a:xfrm>
          <a:off x="0" y="47626905"/>
          <a:ext cx="506095" cy="210185"/>
        </a:xfrm>
        <a:prstGeom prst="rect">
          <a:avLst/>
        </a:prstGeom>
        <a:noFill/>
      </xdr:spPr>
    </xdr:pic>
    <xdr:clientData/>
  </xdr:twoCellAnchor>
  <xdr:twoCellAnchor editAs="oneCell">
    <xdr:from>
      <xdr:col>10</xdr:col>
      <xdr:colOff>952500</xdr:colOff>
      <xdr:row>0</xdr:row>
      <xdr:rowOff>0</xdr:rowOff>
    </xdr:from>
    <xdr:to>
      <xdr:col>13</xdr:col>
      <xdr:colOff>69215</xdr:colOff>
      <xdr:row>0</xdr:row>
      <xdr:rowOff>2147570</xdr:rowOff>
    </xdr:to>
    <xdr:pic>
      <xdr:nvPicPr>
        <xdr:cNvPr id="8" name="Picture 7" descr="xl/media/image14.png">
          <a:extLst>
            <a:ext uri="{FF2B5EF4-FFF2-40B4-BE49-F238E27FC236}">
              <a16:creationId xmlns="" xmlns:a16="http://schemas.microsoft.com/office/drawing/2014/main" id="{00000000-0008-0000-0500-000008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a:xfrm>
          <a:off x="14440535" y="0"/>
          <a:ext cx="5184140" cy="2147570"/>
        </a:xfrm>
        <a:prstGeom prst="rect">
          <a:avLst/>
        </a:prstGeom>
        <a:noFill/>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104140</xdr:colOff>
      <xdr:row>0</xdr:row>
      <xdr:rowOff>577850</xdr:rowOff>
    </xdr:from>
    <xdr:to>
      <xdr:col>1</xdr:col>
      <xdr:colOff>5073015</xdr:colOff>
      <xdr:row>0</xdr:row>
      <xdr:rowOff>1457325</xdr:rowOff>
    </xdr:to>
    <xdr:pic>
      <xdr:nvPicPr>
        <xdr:cNvPr id="2" name="Picture 4" descr="xl/media/image1.jpeg">
          <a:extLst>
            <a:ext uri="{FF2B5EF4-FFF2-40B4-BE49-F238E27FC236}">
              <a16:creationId xmlns="" xmlns:a16="http://schemas.microsoft.com/office/drawing/2014/main" id="{00000000-0008-0000-06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38100" y="515620"/>
          <a:ext cx="6416675" cy="879475"/>
        </a:xfrm>
        <a:prstGeom prst="rect">
          <a:avLst/>
        </a:prstGeom>
        <a:noFill/>
        <a:ln w="0" cap="flat" cmpd="sng">
          <a:noFill/>
          <a:prstDash/>
        </a:ln>
      </xdr:spPr>
    </xdr:pic>
    <xdr:clientData/>
  </xdr:twoCellAnchor>
  <xdr:twoCellAnchor editAs="oneCell">
    <xdr:from>
      <xdr:col>9</xdr:col>
      <xdr:colOff>2658110</xdr:colOff>
      <xdr:row>0</xdr:row>
      <xdr:rowOff>502285</xdr:rowOff>
    </xdr:from>
    <xdr:to>
      <xdr:col>12</xdr:col>
      <xdr:colOff>1138555</xdr:colOff>
      <xdr:row>0</xdr:row>
      <xdr:rowOff>1407795</xdr:rowOff>
    </xdr:to>
    <xdr:pic>
      <xdr:nvPicPr>
        <xdr:cNvPr id="3" name="Picture 2" descr="xl/media/image15.png">
          <a:extLst>
            <a:ext uri="{FF2B5EF4-FFF2-40B4-BE49-F238E27FC236}">
              <a16:creationId xmlns="" xmlns:a16="http://schemas.microsoft.com/office/drawing/2014/main" id="{00000000-0008-0000-0600-000003000000}"/>
            </a:ext>
          </a:extLst>
        </xdr:cNvPr>
        <xdr:cNvPicPr>
          <a:picLocks noChangeAspect="1"/>
        </xdr:cNvPicPr>
      </xdr:nvPicPr>
      <xdr:blipFill>
        <a:blip xmlns:r="http://schemas.openxmlformats.org/officeDocument/2006/relationships" r:embed="rId2" cstate="hqprint">
          <a:extLst>
            <a:ext uri="{28A0092B-C50C-407E-A947-70E740481C1C}">
              <a14:useLocalDpi xmlns:a14="http://schemas.microsoft.com/office/drawing/2010/main"/>
            </a:ext>
          </a:extLst>
        </a:blip>
        <a:srcRect/>
        <a:stretch>
          <a:fillRect/>
        </a:stretch>
      </xdr:blipFill>
      <xdr:spPr>
        <a:xfrm>
          <a:off x="19070320" y="440055"/>
          <a:ext cx="4690745" cy="905510"/>
        </a:xfrm>
        <a:prstGeom prst="rect">
          <a:avLst/>
        </a:prstGeom>
        <a:noFill/>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56</xdr:row>
      <xdr:rowOff>0</xdr:rowOff>
    </xdr:from>
    <xdr:to>
      <xdr:col>0</xdr:col>
      <xdr:colOff>603250</xdr:colOff>
      <xdr:row>56</xdr:row>
      <xdr:rowOff>163195</xdr:rowOff>
    </xdr:to>
    <xdr:pic>
      <xdr:nvPicPr>
        <xdr:cNvPr id="2" name="Picture 1" descr="xl/media/image8.PNG">
          <a:extLst>
            <a:ext uri="{FF2B5EF4-FFF2-40B4-BE49-F238E27FC236}">
              <a16:creationId xmlns="" xmlns:a16="http://schemas.microsoft.com/office/drawing/2014/main" id="{00000000-0008-0000-08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0" y="41114345"/>
          <a:ext cx="603250" cy="163195"/>
        </a:xfrm>
        <a:prstGeom prst="rect">
          <a:avLst/>
        </a:prstGeom>
        <a:noFill/>
      </xdr:spPr>
    </xdr:pic>
    <xdr:clientData/>
  </xdr:twoCellAnchor>
  <xdr:twoCellAnchor editAs="oneCell">
    <xdr:from>
      <xdr:col>0</xdr:col>
      <xdr:colOff>0</xdr:colOff>
      <xdr:row>0</xdr:row>
      <xdr:rowOff>392430</xdr:rowOff>
    </xdr:from>
    <xdr:to>
      <xdr:col>1</xdr:col>
      <xdr:colOff>4544695</xdr:colOff>
      <xdr:row>0</xdr:row>
      <xdr:rowOff>1456690</xdr:rowOff>
    </xdr:to>
    <xdr:pic>
      <xdr:nvPicPr>
        <xdr:cNvPr id="3" name="Picture 4" descr="xl/media/image1.jpeg">
          <a:extLst>
            <a:ext uri="{FF2B5EF4-FFF2-40B4-BE49-F238E27FC236}">
              <a16:creationId xmlns="" xmlns:a16="http://schemas.microsoft.com/office/drawing/2014/main" id="{00000000-0008-0000-08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a:xfrm>
          <a:off x="0" y="330200"/>
          <a:ext cx="5468620" cy="1064260"/>
        </a:xfrm>
        <a:prstGeom prst="rect">
          <a:avLst/>
        </a:prstGeom>
        <a:noFill/>
        <a:ln w="0" cap="flat" cmpd="sng">
          <a:noFill/>
          <a:prstDash/>
        </a:ln>
      </xdr:spPr>
    </xdr:pic>
    <xdr:clientData/>
  </xdr:twoCellAnchor>
  <xdr:twoCellAnchor editAs="oneCell">
    <xdr:from>
      <xdr:col>8</xdr:col>
      <xdr:colOff>917575</xdr:colOff>
      <xdr:row>0</xdr:row>
      <xdr:rowOff>0</xdr:rowOff>
    </xdr:from>
    <xdr:to>
      <xdr:col>12</xdr:col>
      <xdr:colOff>2372360</xdr:colOff>
      <xdr:row>0</xdr:row>
      <xdr:rowOff>1814195</xdr:rowOff>
    </xdr:to>
    <xdr:pic>
      <xdr:nvPicPr>
        <xdr:cNvPr id="5" name="Picture 4" descr="xl/media/image16.png">
          <a:extLst>
            <a:ext uri="{FF2B5EF4-FFF2-40B4-BE49-F238E27FC236}">
              <a16:creationId xmlns="" xmlns:a16="http://schemas.microsoft.com/office/drawing/2014/main" id="{00000000-0008-0000-0800-000005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a:xfrm>
          <a:off x="13996035" y="0"/>
          <a:ext cx="5674360" cy="1814195"/>
        </a:xfrm>
        <a:prstGeom prst="rect">
          <a:avLst/>
        </a:prstGeom>
        <a:noFill/>
      </xdr:spPr>
    </xdr:pic>
    <xdr:clientData/>
  </xdr:twoCellAnchor>
  <xdr:twoCellAnchor editAs="oneCell">
    <xdr:from>
      <xdr:col>0</xdr:col>
      <xdr:colOff>0</xdr:colOff>
      <xdr:row>65</xdr:row>
      <xdr:rowOff>114300</xdr:rowOff>
    </xdr:from>
    <xdr:to>
      <xdr:col>12</xdr:col>
      <xdr:colOff>1090930</xdr:colOff>
      <xdr:row>80</xdr:row>
      <xdr:rowOff>6350</xdr:rowOff>
    </xdr:to>
    <xdr:pic>
      <xdr:nvPicPr>
        <xdr:cNvPr id="7" name="Picture 6" descr="xl/media/image3.PNG">
          <a:extLst>
            <a:ext uri="{FF2B5EF4-FFF2-40B4-BE49-F238E27FC236}">
              <a16:creationId xmlns="" xmlns:a16="http://schemas.microsoft.com/office/drawing/2014/main" id="{00000000-0008-0000-0800-000007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a:xfrm>
          <a:off x="0" y="46486445"/>
          <a:ext cx="18455005" cy="2320925"/>
        </a:xfrm>
        <a:prstGeom prst="rect">
          <a:avLst/>
        </a:prstGeom>
        <a:noFill/>
      </xdr:spPr>
    </xdr:pic>
    <xdr:clientData/>
  </xdr:twoCellAnchor>
  <xdr:twoCellAnchor editAs="oneCell">
    <xdr:from>
      <xdr:col>0</xdr:col>
      <xdr:colOff>415925</xdr:colOff>
      <xdr:row>71</xdr:row>
      <xdr:rowOff>121285</xdr:rowOff>
    </xdr:from>
    <xdr:to>
      <xdr:col>1</xdr:col>
      <xdr:colOff>1316355</xdr:colOff>
      <xdr:row>74</xdr:row>
      <xdr:rowOff>135255</xdr:rowOff>
    </xdr:to>
    <xdr:pic>
      <xdr:nvPicPr>
        <xdr:cNvPr id="8" name="Picture 7" descr="xl/media/image8.PNG">
          <a:extLst>
            <a:ext uri="{FF2B5EF4-FFF2-40B4-BE49-F238E27FC236}">
              <a16:creationId xmlns="" xmlns:a16="http://schemas.microsoft.com/office/drawing/2014/main" id="{00000000-0008-0000-0800-000008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flipH="1">
          <a:off x="349885" y="47464980"/>
          <a:ext cx="1824355" cy="499745"/>
        </a:xfrm>
        <a:prstGeom prst="rect">
          <a:avLst/>
        </a:prstGeom>
        <a:noFill/>
      </xdr:spPr>
    </xdr:pic>
    <xdr:clientData/>
  </xdr:twoCellAnchor>
  <xdr:twoCellAnchor>
    <xdr:from>
      <xdr:col>1</xdr:col>
      <xdr:colOff>2147570</xdr:colOff>
      <xdr:row>72</xdr:row>
      <xdr:rowOff>104140</xdr:rowOff>
    </xdr:from>
    <xdr:to>
      <xdr:col>1</xdr:col>
      <xdr:colOff>3630930</xdr:colOff>
      <xdr:row>74</xdr:row>
      <xdr:rowOff>126365</xdr:rowOff>
    </xdr:to>
    <xdr:pic>
      <xdr:nvPicPr>
        <xdr:cNvPr id="9" name="Picture 1" descr="xl/media/image4.png">
          <a:extLst>
            <a:ext uri="{FF2B5EF4-FFF2-40B4-BE49-F238E27FC236}">
              <a16:creationId xmlns="" xmlns:a16="http://schemas.microsoft.com/office/drawing/2014/main" id="{00000000-0008-0000-0800-000009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a:xfrm>
          <a:off x="3005455" y="47609760"/>
          <a:ext cx="1483360" cy="346075"/>
        </a:xfrm>
        <a:prstGeom prst="rect">
          <a:avLst/>
        </a:prstGeom>
        <a:noFill/>
        <a:ln w="0" cap="flat" cmpd="sng">
          <a:noFill/>
          <a:prstDash/>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69</xdr:row>
      <xdr:rowOff>0</xdr:rowOff>
    </xdr:from>
    <xdr:to>
      <xdr:col>0</xdr:col>
      <xdr:colOff>603250</xdr:colOff>
      <xdr:row>69</xdr:row>
      <xdr:rowOff>86995</xdr:rowOff>
    </xdr:to>
    <xdr:pic>
      <xdr:nvPicPr>
        <xdr:cNvPr id="3" name="Picture 2" descr="xl/media/image8.PNG">
          <a:extLst>
            <a:ext uri="{FF2B5EF4-FFF2-40B4-BE49-F238E27FC236}">
              <a16:creationId xmlns="" xmlns:a16="http://schemas.microsoft.com/office/drawing/2014/main" id="{00000000-0008-0000-09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0" y="54296945"/>
          <a:ext cx="603250" cy="86995"/>
        </a:xfrm>
        <a:prstGeom prst="rect">
          <a:avLst/>
        </a:prstGeom>
        <a:noFill/>
      </xdr:spPr>
    </xdr:pic>
    <xdr:clientData/>
  </xdr:twoCellAnchor>
  <xdr:twoCellAnchor editAs="oneCell">
    <xdr:from>
      <xdr:col>0</xdr:col>
      <xdr:colOff>0</xdr:colOff>
      <xdr:row>0</xdr:row>
      <xdr:rowOff>272415</xdr:rowOff>
    </xdr:from>
    <xdr:to>
      <xdr:col>3</xdr:col>
      <xdr:colOff>568960</xdr:colOff>
      <xdr:row>0</xdr:row>
      <xdr:rowOff>1496695</xdr:rowOff>
    </xdr:to>
    <xdr:pic>
      <xdr:nvPicPr>
        <xdr:cNvPr id="4" name="Picture 4" descr="xl/media/image1.jpeg">
          <a:extLst>
            <a:ext uri="{FF2B5EF4-FFF2-40B4-BE49-F238E27FC236}">
              <a16:creationId xmlns="" xmlns:a16="http://schemas.microsoft.com/office/drawing/2014/main" id="{00000000-0008-0000-09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a:xfrm>
          <a:off x="0" y="210185"/>
          <a:ext cx="7731760" cy="1224280"/>
        </a:xfrm>
        <a:prstGeom prst="rect">
          <a:avLst/>
        </a:prstGeom>
        <a:noFill/>
        <a:ln w="0" cap="flat" cmpd="sng">
          <a:noFill/>
          <a:prstDash/>
        </a:ln>
      </xdr:spPr>
    </xdr:pic>
    <xdr:clientData/>
  </xdr:twoCellAnchor>
  <xdr:twoCellAnchor editAs="oneCell">
    <xdr:from>
      <xdr:col>10</xdr:col>
      <xdr:colOff>1247140</xdr:colOff>
      <xdr:row>0</xdr:row>
      <xdr:rowOff>0</xdr:rowOff>
    </xdr:from>
    <xdr:to>
      <xdr:col>16</xdr:col>
      <xdr:colOff>179070</xdr:colOff>
      <xdr:row>0</xdr:row>
      <xdr:rowOff>1741805</xdr:rowOff>
    </xdr:to>
    <xdr:pic>
      <xdr:nvPicPr>
        <xdr:cNvPr id="6" name="Picture 5" descr="xl/media/image17.png">
          <a:extLst>
            <a:ext uri="{FF2B5EF4-FFF2-40B4-BE49-F238E27FC236}">
              <a16:creationId xmlns="" xmlns:a16="http://schemas.microsoft.com/office/drawing/2014/main" id="{00000000-0008-0000-0900-00000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a:xfrm>
          <a:off x="13716000" y="0"/>
          <a:ext cx="4475480" cy="1741805"/>
        </a:xfrm>
        <a:prstGeom prst="rect">
          <a:avLst/>
        </a:prstGeom>
        <a:noFill/>
      </xdr:spPr>
    </xdr:pic>
    <xdr:clientData/>
  </xdr:twoCellAnchor>
  <xdr:twoCellAnchor editAs="oneCell">
    <xdr:from>
      <xdr:col>0</xdr:col>
      <xdr:colOff>0</xdr:colOff>
      <xdr:row>79</xdr:row>
      <xdr:rowOff>17145</xdr:rowOff>
    </xdr:from>
    <xdr:to>
      <xdr:col>16</xdr:col>
      <xdr:colOff>531495</xdr:colOff>
      <xdr:row>97</xdr:row>
      <xdr:rowOff>86360</xdr:rowOff>
    </xdr:to>
    <xdr:pic>
      <xdr:nvPicPr>
        <xdr:cNvPr id="10" name="Picture 9" descr="xl/media/image3.PNG">
          <a:extLst>
            <a:ext uri="{FF2B5EF4-FFF2-40B4-BE49-F238E27FC236}">
              <a16:creationId xmlns="" xmlns:a16="http://schemas.microsoft.com/office/drawing/2014/main" id="{00000000-0008-0000-0900-00000A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a:xfrm>
          <a:off x="0" y="60000515"/>
          <a:ext cx="18609945" cy="2983865"/>
        </a:xfrm>
        <a:prstGeom prst="rect">
          <a:avLst/>
        </a:prstGeom>
        <a:noFill/>
      </xdr:spPr>
    </xdr:pic>
    <xdr:clientData/>
  </xdr:twoCellAnchor>
  <xdr:twoCellAnchor>
    <xdr:from>
      <xdr:col>1</xdr:col>
      <xdr:colOff>2632075</xdr:colOff>
      <xdr:row>88</xdr:row>
      <xdr:rowOff>52070</xdr:rowOff>
    </xdr:from>
    <xdr:to>
      <xdr:col>1</xdr:col>
      <xdr:colOff>4115434</xdr:colOff>
      <xdr:row>90</xdr:row>
      <xdr:rowOff>150495</xdr:rowOff>
    </xdr:to>
    <xdr:pic>
      <xdr:nvPicPr>
        <xdr:cNvPr id="11" name="Picture 1" descr="xl/media/image4.png">
          <a:extLst>
            <a:ext uri="{FF2B5EF4-FFF2-40B4-BE49-F238E27FC236}">
              <a16:creationId xmlns="" xmlns:a16="http://schemas.microsoft.com/office/drawing/2014/main" id="{00000000-0008-0000-0900-00000B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a:xfrm>
          <a:off x="3461385" y="61492764"/>
          <a:ext cx="1483360" cy="422276"/>
        </a:xfrm>
        <a:prstGeom prst="rect">
          <a:avLst/>
        </a:prstGeom>
        <a:noFill/>
        <a:ln w="0" cap="flat" cmpd="sng">
          <a:noFill/>
          <a:prstDash/>
        </a:ln>
      </xdr:spPr>
    </xdr:pic>
    <xdr:clientData/>
  </xdr:twoCellAnchor>
  <xdr:twoCellAnchor editAs="oneCell">
    <xdr:from>
      <xdr:col>1</xdr:col>
      <xdr:colOff>0</xdr:colOff>
      <xdr:row>87</xdr:row>
      <xdr:rowOff>86360</xdr:rowOff>
    </xdr:from>
    <xdr:to>
      <xdr:col>1</xdr:col>
      <xdr:colOff>1217930</xdr:colOff>
      <xdr:row>91</xdr:row>
      <xdr:rowOff>73025</xdr:rowOff>
    </xdr:to>
    <xdr:pic>
      <xdr:nvPicPr>
        <xdr:cNvPr id="12" name="Picture 11" descr="xl/media/image8.PNG">
          <a:extLst>
            <a:ext uri="{FF2B5EF4-FFF2-40B4-BE49-F238E27FC236}">
              <a16:creationId xmlns="" xmlns:a16="http://schemas.microsoft.com/office/drawing/2014/main" id="{00000000-0008-0000-0900-00000C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29310" y="61365129"/>
          <a:ext cx="1217930" cy="634366"/>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452755</xdr:rowOff>
    </xdr:from>
    <xdr:to>
      <xdr:col>1</xdr:col>
      <xdr:colOff>4315460</xdr:colOff>
      <xdr:row>0</xdr:row>
      <xdr:rowOff>1415415</xdr:rowOff>
    </xdr:to>
    <xdr:pic>
      <xdr:nvPicPr>
        <xdr:cNvPr id="2" name="Picture 4" descr="xl/media/image18.jpeg">
          <a:extLst>
            <a:ext uri="{FF2B5EF4-FFF2-40B4-BE49-F238E27FC236}">
              <a16:creationId xmlns="" xmlns:a16="http://schemas.microsoft.com/office/drawing/2014/main" id="{00000000-0008-0000-0A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0" y="390525"/>
          <a:ext cx="5239385" cy="962660"/>
        </a:xfrm>
        <a:prstGeom prst="rect">
          <a:avLst/>
        </a:prstGeom>
        <a:noFill/>
        <a:ln w="0" cap="flat" cmpd="sng">
          <a:noFill/>
          <a:prstDash/>
        </a:ln>
      </xdr:spPr>
    </xdr:pic>
    <xdr:clientData/>
  </xdr:twoCellAnchor>
  <xdr:twoCellAnchor editAs="oneCell">
    <xdr:from>
      <xdr:col>5</xdr:col>
      <xdr:colOff>85725</xdr:colOff>
      <xdr:row>84</xdr:row>
      <xdr:rowOff>89535</xdr:rowOff>
    </xdr:from>
    <xdr:to>
      <xdr:col>27</xdr:col>
      <xdr:colOff>577215</xdr:colOff>
      <xdr:row>95</xdr:row>
      <xdr:rowOff>103505</xdr:rowOff>
    </xdr:to>
    <xdr:pic>
      <xdr:nvPicPr>
        <xdr:cNvPr id="3" name="Picture 2" descr="xl/media/image3.PNG">
          <a:extLst>
            <a:ext uri="{FF2B5EF4-FFF2-40B4-BE49-F238E27FC236}">
              <a16:creationId xmlns="" xmlns:a16="http://schemas.microsoft.com/office/drawing/2014/main" id="{00000000-0008-0000-0A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a:xfrm>
          <a:off x="8916035" y="55653305"/>
          <a:ext cx="20103465" cy="1804670"/>
        </a:xfrm>
        <a:prstGeom prst="rect">
          <a:avLst/>
        </a:prstGeom>
        <a:noFill/>
      </xdr:spPr>
    </xdr:pic>
    <xdr:clientData/>
  </xdr:twoCellAnchor>
  <xdr:twoCellAnchor editAs="oneCell">
    <xdr:from>
      <xdr:col>11</xdr:col>
      <xdr:colOff>24130</xdr:colOff>
      <xdr:row>0</xdr:row>
      <xdr:rowOff>95250</xdr:rowOff>
    </xdr:from>
    <xdr:to>
      <xdr:col>12</xdr:col>
      <xdr:colOff>1881505</xdr:colOff>
      <xdr:row>0</xdr:row>
      <xdr:rowOff>2095499</xdr:rowOff>
    </xdr:to>
    <xdr:pic>
      <xdr:nvPicPr>
        <xdr:cNvPr id="4" name="Picture 3" descr="xl/media/image19.png">
          <a:extLst>
            <a:ext uri="{FF2B5EF4-FFF2-40B4-BE49-F238E27FC236}">
              <a16:creationId xmlns="" xmlns:a16="http://schemas.microsoft.com/office/drawing/2014/main" id="{00000000-0008-0000-0A00-000004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a:xfrm>
          <a:off x="15083790" y="33020"/>
          <a:ext cx="3990975" cy="2000249"/>
        </a:xfrm>
        <a:prstGeom prst="rect">
          <a:avLst/>
        </a:prstGeom>
        <a:noFill/>
      </xdr:spPr>
    </xdr:pic>
    <xdr:clientData/>
  </xdr:twoCellAnchor>
  <xdr:twoCellAnchor>
    <xdr:from>
      <xdr:col>1</xdr:col>
      <xdr:colOff>1764030</xdr:colOff>
      <xdr:row>82</xdr:row>
      <xdr:rowOff>150495</xdr:rowOff>
    </xdr:from>
    <xdr:to>
      <xdr:col>1</xdr:col>
      <xdr:colOff>3246755</xdr:colOff>
      <xdr:row>84</xdr:row>
      <xdr:rowOff>219075</xdr:rowOff>
    </xdr:to>
    <xdr:pic>
      <xdr:nvPicPr>
        <xdr:cNvPr id="5" name="Picture 1" descr="xl/media/image4.png">
          <a:extLst>
            <a:ext uri="{FF2B5EF4-FFF2-40B4-BE49-F238E27FC236}">
              <a16:creationId xmlns="" xmlns:a16="http://schemas.microsoft.com/office/drawing/2014/main" id="{00000000-0008-0000-0A00-000005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a:xfrm>
          <a:off x="2621915" y="55390415"/>
          <a:ext cx="1482725" cy="392430"/>
        </a:xfrm>
        <a:prstGeom prst="rect">
          <a:avLst/>
        </a:prstGeom>
        <a:noFill/>
        <a:ln w="0" cap="flat" cmpd="sng">
          <a:noFill/>
          <a:prstDash/>
        </a:ln>
      </xdr:spPr>
    </xdr:pic>
    <xdr:clientData/>
  </xdr:twoCellAnchor>
  <xdr:twoCellAnchor editAs="oneCell">
    <xdr:from>
      <xdr:col>0</xdr:col>
      <xdr:colOff>324485</xdr:colOff>
      <xdr:row>84</xdr:row>
      <xdr:rowOff>0</xdr:rowOff>
    </xdr:from>
    <xdr:to>
      <xdr:col>1</xdr:col>
      <xdr:colOff>217805</xdr:colOff>
      <xdr:row>86</xdr:row>
      <xdr:rowOff>107950</xdr:rowOff>
    </xdr:to>
    <xdr:pic>
      <xdr:nvPicPr>
        <xdr:cNvPr id="6" name="Picture 5" descr="xl/media/image8.PNG">
          <a:extLst>
            <a:ext uri="{FF2B5EF4-FFF2-40B4-BE49-F238E27FC236}">
              <a16:creationId xmlns="" xmlns:a16="http://schemas.microsoft.com/office/drawing/2014/main" id="{00000000-0008-0000-0A00-000006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a:xfrm>
          <a:off x="258445" y="55563770"/>
          <a:ext cx="817245" cy="431800"/>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P251"/>
  <sheetViews>
    <sheetView tabSelected="1" view="pageBreakPreview" zoomScale="85" zoomScaleNormal="85" zoomScaleSheetLayoutView="85" workbookViewId="0">
      <pane ySplit="4" topLeftCell="A5" activePane="bottomLeft" state="frozen"/>
      <selection pane="bottomLeft" activeCell="V131" sqref="V131"/>
    </sheetView>
  </sheetViews>
  <sheetFormatPr defaultColWidth="9.140625" defaultRowHeight="12.75" outlineLevelCol="1" x14ac:dyDescent="0.2"/>
  <cols>
    <col min="1" max="1" width="13" style="502" customWidth="1"/>
    <col min="2" max="2" width="17.7109375" style="503" customWidth="1"/>
    <col min="3" max="3" width="98.7109375" style="502" customWidth="1"/>
    <col min="4" max="4" width="13.28515625" style="502" customWidth="1"/>
    <col min="5" max="20" width="21.85546875" style="502" hidden="1" customWidth="1" outlineLevel="1"/>
    <col min="21" max="21" width="15.7109375" style="504" customWidth="1" collapsed="1"/>
    <col min="22" max="22" width="13.140625" style="504" customWidth="1"/>
    <col min="23" max="23" width="21.7109375" style="504" bestFit="1" customWidth="1"/>
    <col min="24" max="24" width="16.5703125" style="502" customWidth="1"/>
    <col min="25" max="25" width="40.7109375" style="502" customWidth="1"/>
    <col min="26" max="26" width="26.85546875" style="393" hidden="1" customWidth="1" outlineLevel="1"/>
    <col min="27" max="34" width="21.42578125" style="393" hidden="1" customWidth="1" outlineLevel="1"/>
    <col min="35" max="35" width="19.5703125" style="393" hidden="1" customWidth="1" outlineLevel="1"/>
    <col min="36" max="41" width="21.42578125" style="393" hidden="1" customWidth="1" outlineLevel="1"/>
    <col min="42" max="42" width="24.140625" style="393" bestFit="1" customWidth="1" collapsed="1"/>
    <col min="43" max="43" width="8.5703125" style="393" customWidth="1"/>
    <col min="44" max="16384" width="9.140625" style="393"/>
  </cols>
  <sheetData>
    <row r="1" spans="1:42" s="377" customFormat="1" ht="111" customHeight="1" x14ac:dyDescent="0.25">
      <c r="A1" s="510"/>
      <c r="B1" s="511"/>
      <c r="C1" s="511"/>
      <c r="D1" s="511"/>
      <c r="E1" s="511"/>
      <c r="F1" s="511"/>
      <c r="G1" s="511"/>
      <c r="H1" s="511"/>
      <c r="I1" s="511"/>
      <c r="J1" s="511"/>
      <c r="K1" s="511"/>
      <c r="L1" s="511"/>
      <c r="M1" s="511"/>
      <c r="N1" s="511"/>
      <c r="O1" s="511"/>
      <c r="P1" s="511"/>
      <c r="Q1" s="511"/>
      <c r="R1" s="511"/>
      <c r="S1" s="511"/>
      <c r="T1" s="511"/>
      <c r="U1" s="511"/>
      <c r="V1" s="511"/>
      <c r="W1" s="511"/>
      <c r="X1" s="511"/>
      <c r="Y1" s="512"/>
    </row>
    <row r="2" spans="1:42" s="377" customFormat="1" ht="18" x14ac:dyDescent="0.25">
      <c r="A2" s="513"/>
      <c r="B2" s="514"/>
      <c r="C2" s="515" t="s">
        <v>454</v>
      </c>
      <c r="D2" s="516"/>
      <c r="E2" s="516"/>
      <c r="F2" s="516"/>
      <c r="G2" s="516"/>
      <c r="H2" s="516"/>
      <c r="I2" s="516"/>
      <c r="J2" s="516"/>
      <c r="K2" s="516"/>
      <c r="L2" s="516"/>
      <c r="M2" s="516"/>
      <c r="N2" s="516"/>
      <c r="O2" s="516"/>
      <c r="P2" s="516"/>
      <c r="Q2" s="516"/>
      <c r="R2" s="516"/>
      <c r="S2" s="516"/>
      <c r="T2" s="516"/>
      <c r="U2" s="516"/>
      <c r="V2" s="516"/>
      <c r="W2" s="517"/>
      <c r="X2" s="515" t="s">
        <v>503</v>
      </c>
      <c r="Y2" s="518"/>
    </row>
    <row r="3" spans="1:42" s="377" customFormat="1" ht="18" x14ac:dyDescent="0.25">
      <c r="A3" s="519" t="s">
        <v>498</v>
      </c>
      <c r="B3" s="520"/>
      <c r="C3" s="520"/>
      <c r="D3" s="520"/>
      <c r="E3" s="520"/>
      <c r="F3" s="520"/>
      <c r="G3" s="520"/>
      <c r="H3" s="520"/>
      <c r="I3" s="520"/>
      <c r="J3" s="520"/>
      <c r="K3" s="520"/>
      <c r="L3" s="520"/>
      <c r="M3" s="520"/>
      <c r="N3" s="520"/>
      <c r="O3" s="520"/>
      <c r="P3" s="520"/>
      <c r="Q3" s="520"/>
      <c r="R3" s="520"/>
      <c r="S3" s="520"/>
      <c r="T3" s="520"/>
      <c r="U3" s="520"/>
      <c r="V3" s="520"/>
      <c r="W3" s="520"/>
      <c r="X3" s="520"/>
      <c r="Y3" s="521"/>
    </row>
    <row r="4" spans="1:42" s="377" customFormat="1" ht="72" x14ac:dyDescent="0.25">
      <c r="A4" s="378" t="s">
        <v>16</v>
      </c>
      <c r="B4" s="379" t="s">
        <v>17</v>
      </c>
      <c r="C4" s="380" t="s">
        <v>18</v>
      </c>
      <c r="D4" s="381" t="s">
        <v>19</v>
      </c>
      <c r="E4" s="382" t="s">
        <v>20</v>
      </c>
      <c r="F4" s="382" t="s">
        <v>21</v>
      </c>
      <c r="G4" s="382" t="s">
        <v>22</v>
      </c>
      <c r="H4" s="382" t="s">
        <v>23</v>
      </c>
      <c r="I4" s="382" t="s">
        <v>24</v>
      </c>
      <c r="J4" s="382" t="s">
        <v>25</v>
      </c>
      <c r="K4" s="382" t="s">
        <v>26</v>
      </c>
      <c r="L4" s="382" t="s">
        <v>27</v>
      </c>
      <c r="M4" s="382" t="s">
        <v>28</v>
      </c>
      <c r="N4" s="382" t="s">
        <v>29</v>
      </c>
      <c r="O4" s="382" t="s">
        <v>30</v>
      </c>
      <c r="P4" s="382" t="s">
        <v>31</v>
      </c>
      <c r="Q4" s="382" t="s">
        <v>32</v>
      </c>
      <c r="R4" s="382" t="s">
        <v>33</v>
      </c>
      <c r="S4" s="382" t="s">
        <v>34</v>
      </c>
      <c r="T4" s="382" t="s">
        <v>35</v>
      </c>
      <c r="U4" s="383" t="s">
        <v>36</v>
      </c>
      <c r="V4" s="383" t="s">
        <v>37</v>
      </c>
      <c r="W4" s="383" t="s">
        <v>38</v>
      </c>
      <c r="X4" s="382" t="s">
        <v>39</v>
      </c>
      <c r="Y4" s="384" t="s">
        <v>425</v>
      </c>
      <c r="Z4" s="385" t="s">
        <v>20</v>
      </c>
      <c r="AA4" s="386" t="s">
        <v>21</v>
      </c>
      <c r="AB4" s="386" t="s">
        <v>22</v>
      </c>
      <c r="AC4" s="386" t="s">
        <v>23</v>
      </c>
      <c r="AD4" s="386" t="s">
        <v>24</v>
      </c>
      <c r="AE4" s="386" t="s">
        <v>25</v>
      </c>
      <c r="AF4" s="386" t="s">
        <v>26</v>
      </c>
      <c r="AG4" s="386" t="s">
        <v>27</v>
      </c>
      <c r="AH4" s="386" t="s">
        <v>28</v>
      </c>
      <c r="AI4" s="386" t="s">
        <v>29</v>
      </c>
      <c r="AJ4" s="386" t="s">
        <v>30</v>
      </c>
      <c r="AK4" s="386" t="s">
        <v>31</v>
      </c>
      <c r="AL4" s="386" t="s">
        <v>32</v>
      </c>
      <c r="AM4" s="386" t="s">
        <v>33</v>
      </c>
      <c r="AN4" s="386" t="s">
        <v>34</v>
      </c>
      <c r="AO4" s="387" t="s">
        <v>35</v>
      </c>
    </row>
    <row r="5" spans="1:42" x14ac:dyDescent="0.2">
      <c r="A5" s="388"/>
      <c r="B5" s="389"/>
      <c r="C5" s="390"/>
      <c r="D5" s="390"/>
      <c r="E5" s="390"/>
      <c r="F5" s="390"/>
      <c r="G5" s="390"/>
      <c r="H5" s="390"/>
      <c r="I5" s="390"/>
      <c r="J5" s="390"/>
      <c r="K5" s="390"/>
      <c r="L5" s="390"/>
      <c r="M5" s="390"/>
      <c r="N5" s="390"/>
      <c r="O5" s="390"/>
      <c r="P5" s="390"/>
      <c r="Q5" s="390"/>
      <c r="R5" s="390"/>
      <c r="S5" s="390"/>
      <c r="T5" s="390"/>
      <c r="U5" s="391"/>
      <c r="V5" s="391"/>
      <c r="W5" s="391"/>
      <c r="X5" s="390"/>
      <c r="Y5" s="392"/>
    </row>
    <row r="6" spans="1:42" ht="78.75" x14ac:dyDescent="0.2">
      <c r="A6" s="388"/>
      <c r="B6" s="394" t="s">
        <v>138</v>
      </c>
      <c r="C6" s="395" t="s">
        <v>500</v>
      </c>
      <c r="D6" s="396"/>
      <c r="E6" s="396"/>
      <c r="F6" s="396"/>
      <c r="G6" s="396"/>
      <c r="H6" s="396"/>
      <c r="I6" s="396"/>
      <c r="J6" s="396"/>
      <c r="K6" s="396"/>
      <c r="L6" s="396"/>
      <c r="M6" s="396"/>
      <c r="N6" s="396"/>
      <c r="O6" s="396"/>
      <c r="P6" s="396"/>
      <c r="Q6" s="396"/>
      <c r="R6" s="396"/>
      <c r="S6" s="396"/>
      <c r="T6" s="396"/>
      <c r="U6" s="397"/>
      <c r="V6" s="397"/>
      <c r="W6" s="397"/>
      <c r="X6" s="396"/>
      <c r="Y6" s="392"/>
    </row>
    <row r="7" spans="1:42" ht="15.75" x14ac:dyDescent="0.2">
      <c r="A7" s="388"/>
      <c r="B7" s="398" t="s">
        <v>501</v>
      </c>
      <c r="C7" s="395" t="s">
        <v>512</v>
      </c>
      <c r="D7" s="375" t="s">
        <v>43</v>
      </c>
      <c r="E7" s="396"/>
      <c r="F7" s="396"/>
      <c r="G7" s="373">
        <v>26</v>
      </c>
      <c r="H7" s="373">
        <v>6.18</v>
      </c>
      <c r="I7" s="373">
        <v>309.5</v>
      </c>
      <c r="J7" s="373">
        <v>87.5</v>
      </c>
      <c r="K7" s="373">
        <v>258</v>
      </c>
      <c r="L7" s="373">
        <v>6.5</v>
      </c>
      <c r="M7" s="373">
        <v>206</v>
      </c>
      <c r="N7" s="373">
        <v>82.972839999999991</v>
      </c>
      <c r="O7" s="373">
        <v>251</v>
      </c>
      <c r="P7" s="373">
        <v>37.620000000000005</v>
      </c>
      <c r="Q7" s="373">
        <v>38.400000000000006</v>
      </c>
      <c r="R7" s="373">
        <v>43.00266666666667</v>
      </c>
      <c r="S7" s="373">
        <v>0</v>
      </c>
      <c r="T7" s="373">
        <v>244.16640000000001</v>
      </c>
      <c r="U7" s="374">
        <f t="shared" ref="U7:U8" si="0">SUM(E7:T7)</f>
        <v>1596.841906666667</v>
      </c>
      <c r="V7" s="397">
        <v>200</v>
      </c>
      <c r="W7" s="374">
        <f>U7*V7</f>
        <v>319368.38133333338</v>
      </c>
      <c r="X7" s="396"/>
      <c r="Y7" s="392"/>
    </row>
    <row r="8" spans="1:42" ht="94.5" x14ac:dyDescent="0.2">
      <c r="A8" s="388"/>
      <c r="B8" s="394" t="s">
        <v>138</v>
      </c>
      <c r="C8" s="395" t="s">
        <v>502</v>
      </c>
      <c r="D8" s="399" t="s">
        <v>248</v>
      </c>
      <c r="E8" s="396"/>
      <c r="F8" s="396"/>
      <c r="G8" s="396"/>
      <c r="H8" s="396"/>
      <c r="I8" s="396"/>
      <c r="J8" s="396"/>
      <c r="K8" s="396"/>
      <c r="L8" s="396"/>
      <c r="M8" s="396"/>
      <c r="N8" s="396"/>
      <c r="O8" s="373">
        <v>138</v>
      </c>
      <c r="P8" s="396"/>
      <c r="Q8" s="396"/>
      <c r="R8" s="396"/>
      <c r="S8" s="396"/>
      <c r="T8" s="396"/>
      <c r="U8" s="374">
        <f t="shared" si="0"/>
        <v>138</v>
      </c>
      <c r="V8" s="400">
        <v>1200</v>
      </c>
      <c r="W8" s="374">
        <f>U8*V8</f>
        <v>165600</v>
      </c>
      <c r="X8" s="396"/>
      <c r="Y8" s="392"/>
    </row>
    <row r="9" spans="1:42" ht="15.75" x14ac:dyDescent="0.2">
      <c r="A9" s="388"/>
      <c r="B9" s="401"/>
      <c r="C9" s="402"/>
      <c r="D9" s="399"/>
      <c r="E9" s="396"/>
      <c r="F9" s="396"/>
      <c r="G9" s="396"/>
      <c r="H9" s="396"/>
      <c r="I9" s="396"/>
      <c r="J9" s="396"/>
      <c r="K9" s="396"/>
      <c r="L9" s="396"/>
      <c r="M9" s="396"/>
      <c r="N9" s="396"/>
      <c r="O9" s="396"/>
      <c r="P9" s="396"/>
      <c r="Q9" s="396"/>
      <c r="R9" s="396"/>
      <c r="S9" s="396"/>
      <c r="T9" s="396"/>
      <c r="U9" s="397"/>
      <c r="V9" s="397"/>
      <c r="W9" s="397"/>
      <c r="X9" s="396"/>
      <c r="Y9" s="392"/>
    </row>
    <row r="10" spans="1:42" x14ac:dyDescent="0.2">
      <c r="A10" s="388"/>
      <c r="B10" s="394"/>
      <c r="C10" s="396"/>
      <c r="D10" s="396"/>
      <c r="E10" s="396"/>
      <c r="F10" s="396"/>
      <c r="G10" s="396"/>
      <c r="H10" s="396"/>
      <c r="I10" s="396"/>
      <c r="J10" s="396"/>
      <c r="K10" s="396"/>
      <c r="L10" s="396"/>
      <c r="M10" s="396"/>
      <c r="N10" s="396"/>
      <c r="O10" s="396"/>
      <c r="P10" s="396"/>
      <c r="Q10" s="396"/>
      <c r="R10" s="396"/>
      <c r="S10" s="396"/>
      <c r="T10" s="396"/>
      <c r="U10" s="397"/>
      <c r="V10" s="397"/>
      <c r="W10" s="397"/>
      <c r="X10" s="396"/>
      <c r="Y10" s="392"/>
    </row>
    <row r="11" spans="1:42" s="408" customFormat="1" ht="47.25" x14ac:dyDescent="0.25">
      <c r="A11" s="403">
        <v>1</v>
      </c>
      <c r="B11" s="404">
        <v>2.1</v>
      </c>
      <c r="C11" s="395" t="s">
        <v>490</v>
      </c>
      <c r="D11" s="405"/>
      <c r="E11" s="405"/>
      <c r="F11" s="405"/>
      <c r="G11" s="405"/>
      <c r="H11" s="405"/>
      <c r="I11" s="405"/>
      <c r="J11" s="405"/>
      <c r="K11" s="405"/>
      <c r="L11" s="405"/>
      <c r="M11" s="405"/>
      <c r="N11" s="405"/>
      <c r="O11" s="405"/>
      <c r="P11" s="405"/>
      <c r="Q11" s="405"/>
      <c r="R11" s="405"/>
      <c r="S11" s="405"/>
      <c r="T11" s="405"/>
      <c r="U11" s="406"/>
      <c r="V11" s="406"/>
      <c r="W11" s="406"/>
      <c r="X11" s="405"/>
      <c r="Y11" s="407"/>
      <c r="AP11" s="508"/>
    </row>
    <row r="12" spans="1:42" s="408" customFormat="1" ht="15.75" x14ac:dyDescent="0.25">
      <c r="A12" s="409"/>
      <c r="B12" s="410" t="s">
        <v>330</v>
      </c>
      <c r="C12" s="395" t="s">
        <v>42</v>
      </c>
      <c r="D12" s="375" t="s">
        <v>43</v>
      </c>
      <c r="E12" s="405"/>
      <c r="F12" s="405"/>
      <c r="G12" s="405"/>
      <c r="H12" s="405"/>
      <c r="I12" s="405"/>
      <c r="J12" s="405"/>
      <c r="K12" s="405"/>
      <c r="L12" s="405"/>
      <c r="M12" s="405"/>
      <c r="N12" s="405"/>
      <c r="O12" s="405"/>
      <c r="P12" s="405"/>
      <c r="Q12" s="405"/>
      <c r="R12" s="405"/>
      <c r="S12" s="373">
        <v>40.5</v>
      </c>
      <c r="T12" s="373"/>
      <c r="U12" s="374">
        <f>SUM(E12:T12)</f>
        <v>40.5</v>
      </c>
      <c r="V12" s="374">
        <v>107</v>
      </c>
      <c r="W12" s="374">
        <f>U12*V12</f>
        <v>4333.5</v>
      </c>
      <c r="X12" s="405"/>
      <c r="Y12" s="407"/>
      <c r="AN12" s="408">
        <f>V12*S12</f>
        <v>4333.5</v>
      </c>
      <c r="AO12" s="408">
        <f>W12*T12</f>
        <v>0</v>
      </c>
      <c r="AP12" s="509"/>
    </row>
    <row r="13" spans="1:42" s="408" customFormat="1" ht="63" x14ac:dyDescent="0.2">
      <c r="A13" s="411">
        <v>2</v>
      </c>
      <c r="B13" s="412">
        <v>2.6</v>
      </c>
      <c r="C13" s="413" t="s">
        <v>41</v>
      </c>
      <c r="D13" s="375"/>
      <c r="E13" s="373"/>
      <c r="F13" s="373"/>
      <c r="G13" s="373"/>
      <c r="H13" s="373"/>
      <c r="I13" s="373"/>
      <c r="J13" s="373"/>
      <c r="K13" s="373"/>
      <c r="L13" s="373"/>
      <c r="M13" s="373"/>
      <c r="N13" s="373"/>
      <c r="O13" s="373"/>
      <c r="P13" s="373"/>
      <c r="Q13" s="373"/>
      <c r="R13" s="373"/>
      <c r="S13" s="373"/>
      <c r="T13" s="373"/>
      <c r="U13" s="374"/>
      <c r="V13" s="374"/>
      <c r="W13" s="374"/>
      <c r="X13" s="375"/>
      <c r="Y13" s="376"/>
    </row>
    <row r="14" spans="1:42" s="408" customFormat="1" ht="15.75" x14ac:dyDescent="0.2">
      <c r="A14" s="414"/>
      <c r="B14" s="375"/>
      <c r="C14" s="413" t="s">
        <v>42</v>
      </c>
      <c r="D14" s="375" t="s">
        <v>43</v>
      </c>
      <c r="E14" s="373"/>
      <c r="F14" s="373"/>
      <c r="G14" s="373">
        <v>26</v>
      </c>
      <c r="H14" s="373">
        <v>6.18</v>
      </c>
      <c r="I14" s="373">
        <v>309.5</v>
      </c>
      <c r="J14" s="373">
        <v>87.5</v>
      </c>
      <c r="K14" s="373">
        <v>258</v>
      </c>
      <c r="L14" s="373">
        <v>6.5</v>
      </c>
      <c r="M14" s="373">
        <v>206</v>
      </c>
      <c r="N14" s="373">
        <v>82.972839999999991</v>
      </c>
      <c r="O14" s="373">
        <v>251</v>
      </c>
      <c r="P14" s="373">
        <v>37.620000000000005</v>
      </c>
      <c r="Q14" s="373">
        <v>38.400000000000006</v>
      </c>
      <c r="R14" s="373">
        <v>43.00266666666667</v>
      </c>
      <c r="S14" s="373">
        <v>0</v>
      </c>
      <c r="T14" s="373">
        <v>244.16640000000001</v>
      </c>
      <c r="U14" s="374">
        <f>SUM(E14:T14)</f>
        <v>1596.841906666667</v>
      </c>
      <c r="V14" s="374">
        <v>205.45</v>
      </c>
      <c r="W14" s="374">
        <f t="shared" ref="W14:W45" si="1">U14*V14</f>
        <v>328071.16972466669</v>
      </c>
      <c r="X14" s="375"/>
      <c r="Y14" s="376"/>
      <c r="Z14" s="408">
        <f t="shared" ref="Z14:Z45" si="2">V14*E14</f>
        <v>0</v>
      </c>
      <c r="AA14" s="408">
        <f t="shared" ref="AA14:AA45" si="3">V14*F14</f>
        <v>0</v>
      </c>
      <c r="AB14" s="408">
        <f t="shared" ref="AB14:AB45" si="4">V14*G14</f>
        <v>5341.7</v>
      </c>
      <c r="AC14" s="408">
        <f t="shared" ref="AC14:AC45" si="5">V14*H14</f>
        <v>1269.6809999999998</v>
      </c>
      <c r="AD14" s="408">
        <f t="shared" ref="AD14:AD45" si="6">V14*I14</f>
        <v>63586.774999999994</v>
      </c>
      <c r="AE14" s="408">
        <f t="shared" ref="AE14:AE45" si="7">V14*J14</f>
        <v>17976.875</v>
      </c>
      <c r="AF14" s="408">
        <f t="shared" ref="AF14:AF45" si="8">V14*K14</f>
        <v>53006.1</v>
      </c>
      <c r="AG14" s="408">
        <f t="shared" ref="AG14:AG45" si="9">V14*L14</f>
        <v>1335.425</v>
      </c>
      <c r="AH14" s="408">
        <f t="shared" ref="AH14:AH45" si="10">V14*M14</f>
        <v>42322.7</v>
      </c>
      <c r="AI14" s="408">
        <f t="shared" ref="AI14:AI45" si="11">V14*N14</f>
        <v>17046.769977999997</v>
      </c>
      <c r="AJ14" s="408">
        <f t="shared" ref="AJ14:AJ45" si="12">V14*O14</f>
        <v>51567.95</v>
      </c>
      <c r="AK14" s="408">
        <f t="shared" ref="AK14:AK77" si="13">V14*P14</f>
        <v>7729.0290000000005</v>
      </c>
      <c r="AL14" s="408">
        <f t="shared" ref="AL14:AL45" si="14">V14*Q14</f>
        <v>7889.2800000000007</v>
      </c>
      <c r="AM14" s="408">
        <f t="shared" ref="AM14:AM45" si="15">V14*R14</f>
        <v>8834.8978666666662</v>
      </c>
      <c r="AN14" s="408">
        <f t="shared" ref="AN14:AN45" si="16">V14*S14</f>
        <v>0</v>
      </c>
      <c r="AO14" s="408">
        <f t="shared" ref="AO14:AO45" si="17">V14*T14</f>
        <v>50163.986879999997</v>
      </c>
    </row>
    <row r="15" spans="1:42" s="408" customFormat="1" ht="63" x14ac:dyDescent="0.2">
      <c r="A15" s="371">
        <v>3</v>
      </c>
      <c r="B15" s="375">
        <v>2.7</v>
      </c>
      <c r="C15" s="413" t="s">
        <v>44</v>
      </c>
      <c r="D15" s="375"/>
      <c r="E15" s="373"/>
      <c r="F15" s="373"/>
      <c r="G15" s="373"/>
      <c r="H15" s="373"/>
      <c r="I15" s="373"/>
      <c r="J15" s="373"/>
      <c r="K15" s="373"/>
      <c r="L15" s="373"/>
      <c r="M15" s="373"/>
      <c r="N15" s="373"/>
      <c r="O15" s="373"/>
      <c r="P15" s="373"/>
      <c r="Q15" s="373"/>
      <c r="R15" s="373"/>
      <c r="S15" s="373"/>
      <c r="T15" s="373"/>
      <c r="U15" s="374">
        <f t="shared" ref="U15:U77" si="18">SUM(E15:T15)</f>
        <v>0</v>
      </c>
      <c r="V15" s="374"/>
      <c r="W15" s="374">
        <f t="shared" si="1"/>
        <v>0</v>
      </c>
      <c r="X15" s="375"/>
      <c r="Y15" s="376"/>
      <c r="Z15" s="408">
        <f t="shared" si="2"/>
        <v>0</v>
      </c>
      <c r="AA15" s="408">
        <f t="shared" si="3"/>
        <v>0</v>
      </c>
      <c r="AB15" s="408">
        <f t="shared" si="4"/>
        <v>0</v>
      </c>
      <c r="AC15" s="408">
        <f t="shared" si="5"/>
        <v>0</v>
      </c>
      <c r="AD15" s="408">
        <f t="shared" si="6"/>
        <v>0</v>
      </c>
      <c r="AE15" s="408">
        <f t="shared" si="7"/>
        <v>0</v>
      </c>
      <c r="AF15" s="408">
        <f t="shared" si="8"/>
        <v>0</v>
      </c>
      <c r="AG15" s="408">
        <f t="shared" si="9"/>
        <v>0</v>
      </c>
      <c r="AH15" s="408">
        <f t="shared" si="10"/>
        <v>0</v>
      </c>
      <c r="AI15" s="408">
        <f t="shared" si="11"/>
        <v>0</v>
      </c>
      <c r="AJ15" s="408">
        <f t="shared" si="12"/>
        <v>0</v>
      </c>
      <c r="AK15" s="408">
        <f t="shared" si="13"/>
        <v>0</v>
      </c>
      <c r="AL15" s="408">
        <f t="shared" si="14"/>
        <v>0</v>
      </c>
      <c r="AM15" s="408">
        <f t="shared" si="15"/>
        <v>0</v>
      </c>
      <c r="AN15" s="408">
        <f t="shared" si="16"/>
        <v>0</v>
      </c>
      <c r="AO15" s="408">
        <f t="shared" si="17"/>
        <v>0</v>
      </c>
    </row>
    <row r="16" spans="1:42" s="408" customFormat="1" ht="15.75" x14ac:dyDescent="0.2">
      <c r="A16" s="371"/>
      <c r="B16" s="375" t="s">
        <v>45</v>
      </c>
      <c r="C16" s="413" t="s">
        <v>46</v>
      </c>
      <c r="D16" s="375" t="s">
        <v>43</v>
      </c>
      <c r="E16" s="373"/>
      <c r="F16" s="373">
        <f>'allied infrastructre finishig w'!H79+'allied infrastructre finishig w'!H158</f>
        <v>3895.36</v>
      </c>
      <c r="G16" s="373">
        <v>53.91</v>
      </c>
      <c r="H16" s="373">
        <v>12.36</v>
      </c>
      <c r="I16" s="373"/>
      <c r="J16" s="373"/>
      <c r="K16" s="373">
        <f>'PIPE RACK FOUNDATION '!H11</f>
        <v>534</v>
      </c>
      <c r="L16" s="373"/>
      <c r="M16" s="373">
        <v>250</v>
      </c>
      <c r="N16" s="373"/>
      <c r="O16" s="373">
        <v>500</v>
      </c>
      <c r="P16" s="373">
        <v>75.239999999999995</v>
      </c>
      <c r="Q16" s="373">
        <v>76.8</v>
      </c>
      <c r="R16" s="373">
        <v>86.01</v>
      </c>
      <c r="S16" s="373"/>
      <c r="T16" s="373">
        <f>'LIQUID STORAGE PLATFORM '!H12</f>
        <v>488.33280000000002</v>
      </c>
      <c r="U16" s="374">
        <f t="shared" si="18"/>
        <v>5972.0128000000004</v>
      </c>
      <c r="V16" s="374">
        <v>412.95</v>
      </c>
      <c r="W16" s="374">
        <f t="shared" si="1"/>
        <v>2466142.6857600003</v>
      </c>
      <c r="X16" s="375"/>
      <c r="Y16" s="376"/>
      <c r="Z16" s="408">
        <f t="shared" si="2"/>
        <v>0</v>
      </c>
      <c r="AA16" s="408">
        <f t="shared" si="3"/>
        <v>1608588.912</v>
      </c>
      <c r="AB16" s="408">
        <f t="shared" si="4"/>
        <v>22262.134499999996</v>
      </c>
      <c r="AC16" s="408">
        <f t="shared" si="5"/>
        <v>5104.0619999999999</v>
      </c>
      <c r="AD16" s="408">
        <f t="shared" si="6"/>
        <v>0</v>
      </c>
      <c r="AE16" s="408">
        <f t="shared" si="7"/>
        <v>0</v>
      </c>
      <c r="AF16" s="408">
        <f t="shared" si="8"/>
        <v>220515.3</v>
      </c>
      <c r="AG16" s="408">
        <f t="shared" si="9"/>
        <v>0</v>
      </c>
      <c r="AH16" s="408">
        <f t="shared" si="10"/>
        <v>103237.5</v>
      </c>
      <c r="AI16" s="408">
        <f t="shared" si="11"/>
        <v>0</v>
      </c>
      <c r="AJ16" s="408">
        <f t="shared" si="12"/>
        <v>206475</v>
      </c>
      <c r="AK16" s="408">
        <f t="shared" si="13"/>
        <v>31070.357999999997</v>
      </c>
      <c r="AL16" s="408">
        <f t="shared" si="14"/>
        <v>31714.559999999998</v>
      </c>
      <c r="AM16" s="408">
        <f t="shared" si="15"/>
        <v>35517.8295</v>
      </c>
      <c r="AN16" s="408">
        <f t="shared" si="16"/>
        <v>0</v>
      </c>
      <c r="AO16" s="408">
        <f t="shared" si="17"/>
        <v>201657.02976</v>
      </c>
    </row>
    <row r="17" spans="1:41" s="408" customFormat="1" ht="15.75" x14ac:dyDescent="0.2">
      <c r="A17" s="371">
        <v>4</v>
      </c>
      <c r="B17" s="375">
        <v>2.2599999999999998</v>
      </c>
      <c r="C17" s="413" t="s">
        <v>47</v>
      </c>
      <c r="D17" s="375"/>
      <c r="E17" s="373"/>
      <c r="F17" s="373"/>
      <c r="G17" s="373"/>
      <c r="H17" s="373"/>
      <c r="I17" s="373"/>
      <c r="J17" s="373"/>
      <c r="K17" s="373"/>
      <c r="L17" s="373"/>
      <c r="M17" s="373"/>
      <c r="N17" s="373"/>
      <c r="O17" s="373"/>
      <c r="P17" s="373"/>
      <c r="Q17" s="373"/>
      <c r="R17" s="373"/>
      <c r="S17" s="373"/>
      <c r="T17" s="373"/>
      <c r="U17" s="374">
        <f t="shared" si="18"/>
        <v>0</v>
      </c>
      <c r="V17" s="374"/>
      <c r="W17" s="374">
        <f t="shared" si="1"/>
        <v>0</v>
      </c>
      <c r="X17" s="375"/>
      <c r="Y17" s="376"/>
      <c r="Z17" s="408">
        <f t="shared" si="2"/>
        <v>0</v>
      </c>
      <c r="AA17" s="408">
        <f t="shared" si="3"/>
        <v>0</v>
      </c>
      <c r="AB17" s="408">
        <f t="shared" si="4"/>
        <v>0</v>
      </c>
      <c r="AC17" s="408">
        <f t="shared" si="5"/>
        <v>0</v>
      </c>
      <c r="AD17" s="408">
        <f t="shared" si="6"/>
        <v>0</v>
      </c>
      <c r="AE17" s="408">
        <f t="shared" si="7"/>
        <v>0</v>
      </c>
      <c r="AF17" s="408">
        <f t="shared" si="8"/>
        <v>0</v>
      </c>
      <c r="AG17" s="408">
        <f t="shared" si="9"/>
        <v>0</v>
      </c>
      <c r="AH17" s="408">
        <f t="shared" si="10"/>
        <v>0</v>
      </c>
      <c r="AI17" s="408">
        <f t="shared" si="11"/>
        <v>0</v>
      </c>
      <c r="AJ17" s="408">
        <f t="shared" si="12"/>
        <v>0</v>
      </c>
      <c r="AK17" s="408">
        <f t="shared" si="13"/>
        <v>0</v>
      </c>
      <c r="AL17" s="408">
        <f t="shared" si="14"/>
        <v>0</v>
      </c>
      <c r="AM17" s="408">
        <f t="shared" si="15"/>
        <v>0</v>
      </c>
      <c r="AN17" s="408">
        <f t="shared" si="16"/>
        <v>0</v>
      </c>
      <c r="AO17" s="408">
        <f t="shared" si="17"/>
        <v>0</v>
      </c>
    </row>
    <row r="18" spans="1:41" s="408" customFormat="1" ht="15.75" x14ac:dyDescent="0.2">
      <c r="A18" s="371"/>
      <c r="B18" s="375" t="s">
        <v>48</v>
      </c>
      <c r="C18" s="413" t="s">
        <v>49</v>
      </c>
      <c r="D18" s="375" t="s">
        <v>50</v>
      </c>
      <c r="E18" s="373"/>
      <c r="F18" s="373"/>
      <c r="G18" s="373"/>
      <c r="H18" s="373"/>
      <c r="I18" s="373">
        <f>'COOLING TOWER '!I21</f>
        <v>297.67500000000007</v>
      </c>
      <c r="J18" s="373">
        <f>'FUEL YARD'!I20</f>
        <v>28.271775000000005</v>
      </c>
      <c r="K18" s="373">
        <f>'PIPE RACK FOUNDATION '!H13</f>
        <v>262.8125</v>
      </c>
      <c r="L18" s="373"/>
      <c r="M18" s="373"/>
      <c r="N18" s="373"/>
      <c r="O18" s="373"/>
      <c r="P18" s="373"/>
      <c r="Q18" s="373"/>
      <c r="R18" s="373"/>
      <c r="S18" s="373"/>
      <c r="T18" s="373">
        <f>'LIQUID STORAGE PLATFORM '!H14</f>
        <v>244.16640000000001</v>
      </c>
      <c r="U18" s="374">
        <f t="shared" si="18"/>
        <v>832.92567500000018</v>
      </c>
      <c r="V18" s="374">
        <v>104.5</v>
      </c>
      <c r="W18" s="374">
        <f t="shared" si="1"/>
        <v>87040.733037500017</v>
      </c>
      <c r="X18" s="375"/>
      <c r="Y18" s="376"/>
      <c r="Z18" s="408">
        <f t="shared" si="2"/>
        <v>0</v>
      </c>
      <c r="AA18" s="408">
        <f t="shared" si="3"/>
        <v>0</v>
      </c>
      <c r="AB18" s="408">
        <f t="shared" si="4"/>
        <v>0</v>
      </c>
      <c r="AC18" s="408">
        <f t="shared" si="5"/>
        <v>0</v>
      </c>
      <c r="AD18" s="408">
        <f t="shared" si="6"/>
        <v>31107.037500000006</v>
      </c>
      <c r="AE18" s="408">
        <f t="shared" si="7"/>
        <v>2954.4004875000005</v>
      </c>
      <c r="AF18" s="408">
        <f t="shared" si="8"/>
        <v>27463.90625</v>
      </c>
      <c r="AG18" s="408">
        <f t="shared" si="9"/>
        <v>0</v>
      </c>
      <c r="AH18" s="408">
        <f t="shared" si="10"/>
        <v>0</v>
      </c>
      <c r="AI18" s="408">
        <f t="shared" si="11"/>
        <v>0</v>
      </c>
      <c r="AJ18" s="408">
        <f t="shared" si="12"/>
        <v>0</v>
      </c>
      <c r="AK18" s="408">
        <f t="shared" si="13"/>
        <v>0</v>
      </c>
      <c r="AL18" s="408">
        <f t="shared" si="14"/>
        <v>0</v>
      </c>
      <c r="AM18" s="408">
        <f t="shared" si="15"/>
        <v>0</v>
      </c>
      <c r="AN18" s="408">
        <f t="shared" si="16"/>
        <v>0</v>
      </c>
      <c r="AO18" s="408">
        <f t="shared" si="17"/>
        <v>25515.388800000001</v>
      </c>
    </row>
    <row r="19" spans="1:41" s="408" customFormat="1" ht="15.75" x14ac:dyDescent="0.2">
      <c r="A19" s="371"/>
      <c r="B19" s="375" t="s">
        <v>51</v>
      </c>
      <c r="C19" s="413" t="s">
        <v>52</v>
      </c>
      <c r="D19" s="375" t="s">
        <v>50</v>
      </c>
      <c r="E19" s="373"/>
      <c r="F19" s="373">
        <f>'allied infrastructre finishig w'!H85</f>
        <v>528</v>
      </c>
      <c r="G19" s="373"/>
      <c r="H19" s="373"/>
      <c r="I19" s="373"/>
      <c r="J19" s="373"/>
      <c r="K19" s="373">
        <v>250</v>
      </c>
      <c r="L19" s="373"/>
      <c r="M19" s="373"/>
      <c r="N19" s="373"/>
      <c r="O19" s="373"/>
      <c r="P19" s="373"/>
      <c r="Q19" s="373"/>
      <c r="R19" s="373"/>
      <c r="S19" s="373"/>
      <c r="T19" s="373">
        <f>'LIQUID STORAGE PLATFORM '!H17</f>
        <v>244.16640000000001</v>
      </c>
      <c r="U19" s="374">
        <f t="shared" si="18"/>
        <v>1022.1664000000001</v>
      </c>
      <c r="V19" s="374">
        <v>187.4</v>
      </c>
      <c r="W19" s="374">
        <f t="shared" si="1"/>
        <v>191553.98336000001</v>
      </c>
      <c r="X19" s="375"/>
      <c r="Y19" s="376"/>
      <c r="Z19" s="408">
        <f t="shared" si="2"/>
        <v>0</v>
      </c>
      <c r="AA19" s="408">
        <f t="shared" si="3"/>
        <v>98947.199999999997</v>
      </c>
      <c r="AB19" s="408">
        <f t="shared" si="4"/>
        <v>0</v>
      </c>
      <c r="AC19" s="408">
        <f t="shared" si="5"/>
        <v>0</v>
      </c>
      <c r="AD19" s="408">
        <f t="shared" si="6"/>
        <v>0</v>
      </c>
      <c r="AE19" s="408">
        <f t="shared" si="7"/>
        <v>0</v>
      </c>
      <c r="AF19" s="408">
        <f t="shared" si="8"/>
        <v>46850</v>
      </c>
      <c r="AG19" s="408">
        <f t="shared" si="9"/>
        <v>0</v>
      </c>
      <c r="AH19" s="408">
        <f t="shared" si="10"/>
        <v>0</v>
      </c>
      <c r="AI19" s="408">
        <f t="shared" si="11"/>
        <v>0</v>
      </c>
      <c r="AJ19" s="408">
        <f t="shared" si="12"/>
        <v>0</v>
      </c>
      <c r="AK19" s="408">
        <f t="shared" si="13"/>
        <v>0</v>
      </c>
      <c r="AL19" s="408">
        <f t="shared" si="14"/>
        <v>0</v>
      </c>
      <c r="AM19" s="408">
        <f t="shared" si="15"/>
        <v>0</v>
      </c>
      <c r="AN19" s="408">
        <f t="shared" si="16"/>
        <v>0</v>
      </c>
      <c r="AO19" s="408">
        <f t="shared" si="17"/>
        <v>45756.783360000001</v>
      </c>
    </row>
    <row r="20" spans="1:41" s="408" customFormat="1" ht="78.75" x14ac:dyDescent="0.2">
      <c r="A20" s="371">
        <v>5</v>
      </c>
      <c r="B20" s="375">
        <v>2.13</v>
      </c>
      <c r="C20" s="413" t="s">
        <v>53</v>
      </c>
      <c r="D20" s="375"/>
      <c r="E20" s="373"/>
      <c r="F20" s="373"/>
      <c r="G20" s="373"/>
      <c r="H20" s="373"/>
      <c r="I20" s="373"/>
      <c r="J20" s="373"/>
      <c r="K20" s="373"/>
      <c r="L20" s="373"/>
      <c r="M20" s="373"/>
      <c r="N20" s="373"/>
      <c r="O20" s="373"/>
      <c r="P20" s="373"/>
      <c r="Q20" s="373"/>
      <c r="R20" s="373"/>
      <c r="S20" s="373"/>
      <c r="T20" s="373"/>
      <c r="U20" s="374">
        <f t="shared" si="18"/>
        <v>0</v>
      </c>
      <c r="V20" s="374"/>
      <c r="W20" s="374">
        <f t="shared" si="1"/>
        <v>0</v>
      </c>
      <c r="X20" s="375"/>
      <c r="Y20" s="376"/>
      <c r="Z20" s="408">
        <f t="shared" si="2"/>
        <v>0</v>
      </c>
      <c r="AA20" s="408">
        <f t="shared" si="3"/>
        <v>0</v>
      </c>
      <c r="AB20" s="408">
        <f t="shared" si="4"/>
        <v>0</v>
      </c>
      <c r="AC20" s="408">
        <f t="shared" si="5"/>
        <v>0</v>
      </c>
      <c r="AD20" s="408">
        <f t="shared" si="6"/>
        <v>0</v>
      </c>
      <c r="AE20" s="408">
        <f t="shared" si="7"/>
        <v>0</v>
      </c>
      <c r="AF20" s="408">
        <f t="shared" si="8"/>
        <v>0</v>
      </c>
      <c r="AG20" s="408">
        <f t="shared" si="9"/>
        <v>0</v>
      </c>
      <c r="AH20" s="408">
        <f t="shared" si="10"/>
        <v>0</v>
      </c>
      <c r="AI20" s="408">
        <f t="shared" si="11"/>
        <v>0</v>
      </c>
      <c r="AJ20" s="408">
        <f t="shared" si="12"/>
        <v>0</v>
      </c>
      <c r="AK20" s="408">
        <f t="shared" si="13"/>
        <v>0</v>
      </c>
      <c r="AL20" s="408">
        <f t="shared" si="14"/>
        <v>0</v>
      </c>
      <c r="AM20" s="408">
        <f t="shared" si="15"/>
        <v>0</v>
      </c>
      <c r="AN20" s="408">
        <f t="shared" si="16"/>
        <v>0</v>
      </c>
      <c r="AO20" s="408">
        <f t="shared" si="17"/>
        <v>0</v>
      </c>
    </row>
    <row r="21" spans="1:41" s="408" customFormat="1" ht="15.75" x14ac:dyDescent="0.2">
      <c r="A21" s="371"/>
      <c r="B21" s="375" t="s">
        <v>54</v>
      </c>
      <c r="C21" s="413" t="s">
        <v>55</v>
      </c>
      <c r="D21" s="375" t="s">
        <v>56</v>
      </c>
      <c r="E21" s="373"/>
      <c r="F21" s="373"/>
      <c r="G21" s="373"/>
      <c r="H21" s="373"/>
      <c r="I21" s="373"/>
      <c r="J21" s="373"/>
      <c r="K21" s="373"/>
      <c r="L21" s="373"/>
      <c r="M21" s="373"/>
      <c r="N21" s="373"/>
      <c r="O21" s="373"/>
      <c r="P21" s="373"/>
      <c r="Q21" s="373"/>
      <c r="R21" s="373"/>
      <c r="S21" s="373"/>
      <c r="T21" s="373"/>
      <c r="U21" s="374">
        <f t="shared" si="18"/>
        <v>0</v>
      </c>
      <c r="V21" s="374">
        <v>933.35</v>
      </c>
      <c r="W21" s="374">
        <f t="shared" si="1"/>
        <v>0</v>
      </c>
      <c r="X21" s="375"/>
      <c r="Y21" s="376"/>
      <c r="Z21" s="408">
        <f t="shared" si="2"/>
        <v>0</v>
      </c>
      <c r="AA21" s="408">
        <f t="shared" si="3"/>
        <v>0</v>
      </c>
      <c r="AB21" s="408">
        <f t="shared" si="4"/>
        <v>0</v>
      </c>
      <c r="AC21" s="408">
        <f t="shared" si="5"/>
        <v>0</v>
      </c>
      <c r="AD21" s="408">
        <f t="shared" si="6"/>
        <v>0</v>
      </c>
      <c r="AE21" s="408">
        <f t="shared" si="7"/>
        <v>0</v>
      </c>
      <c r="AF21" s="408">
        <f t="shared" si="8"/>
        <v>0</v>
      </c>
      <c r="AG21" s="408">
        <f t="shared" si="9"/>
        <v>0</v>
      </c>
      <c r="AH21" s="408">
        <f t="shared" si="10"/>
        <v>0</v>
      </c>
      <c r="AI21" s="408">
        <f t="shared" si="11"/>
        <v>0</v>
      </c>
      <c r="AJ21" s="408">
        <f t="shared" si="12"/>
        <v>0</v>
      </c>
      <c r="AK21" s="408">
        <f t="shared" si="13"/>
        <v>0</v>
      </c>
      <c r="AL21" s="408">
        <f t="shared" si="14"/>
        <v>0</v>
      </c>
      <c r="AM21" s="408">
        <f t="shared" si="15"/>
        <v>0</v>
      </c>
      <c r="AN21" s="408">
        <f t="shared" si="16"/>
        <v>0</v>
      </c>
      <c r="AO21" s="408">
        <f t="shared" si="17"/>
        <v>0</v>
      </c>
    </row>
    <row r="22" spans="1:41" s="408" customFormat="1" ht="15.75" x14ac:dyDescent="0.2">
      <c r="A22" s="371"/>
      <c r="B22" s="375" t="s">
        <v>57</v>
      </c>
      <c r="C22" s="413" t="s">
        <v>58</v>
      </c>
      <c r="D22" s="375" t="s">
        <v>56</v>
      </c>
      <c r="E22" s="373"/>
      <c r="F22" s="373"/>
      <c r="G22" s="373"/>
      <c r="H22" s="373"/>
      <c r="I22" s="373"/>
      <c r="J22" s="373"/>
      <c r="K22" s="373"/>
      <c r="L22" s="373"/>
      <c r="M22" s="373"/>
      <c r="N22" s="373"/>
      <c r="O22" s="373"/>
      <c r="P22" s="373"/>
      <c r="Q22" s="373"/>
      <c r="R22" s="373"/>
      <c r="S22" s="373"/>
      <c r="T22" s="373"/>
      <c r="U22" s="374">
        <f t="shared" si="18"/>
        <v>0</v>
      </c>
      <c r="V22" s="374">
        <v>1074</v>
      </c>
      <c r="W22" s="374">
        <f t="shared" si="1"/>
        <v>0</v>
      </c>
      <c r="X22" s="375"/>
      <c r="Y22" s="376"/>
      <c r="Z22" s="408">
        <f t="shared" si="2"/>
        <v>0</v>
      </c>
      <c r="AA22" s="408">
        <f t="shared" si="3"/>
        <v>0</v>
      </c>
      <c r="AB22" s="408">
        <f t="shared" si="4"/>
        <v>0</v>
      </c>
      <c r="AC22" s="408">
        <f t="shared" si="5"/>
        <v>0</v>
      </c>
      <c r="AD22" s="408">
        <f t="shared" si="6"/>
        <v>0</v>
      </c>
      <c r="AE22" s="408">
        <f t="shared" si="7"/>
        <v>0</v>
      </c>
      <c r="AF22" s="408">
        <f t="shared" si="8"/>
        <v>0</v>
      </c>
      <c r="AG22" s="408">
        <f t="shared" si="9"/>
        <v>0</v>
      </c>
      <c r="AH22" s="408">
        <f t="shared" si="10"/>
        <v>0</v>
      </c>
      <c r="AI22" s="408">
        <f t="shared" si="11"/>
        <v>0</v>
      </c>
      <c r="AJ22" s="408">
        <f t="shared" si="12"/>
        <v>0</v>
      </c>
      <c r="AK22" s="408">
        <f t="shared" si="13"/>
        <v>0</v>
      </c>
      <c r="AL22" s="408">
        <f t="shared" si="14"/>
        <v>0</v>
      </c>
      <c r="AM22" s="408">
        <f t="shared" si="15"/>
        <v>0</v>
      </c>
      <c r="AN22" s="408">
        <f t="shared" si="16"/>
        <v>0</v>
      </c>
      <c r="AO22" s="408">
        <f t="shared" si="17"/>
        <v>0</v>
      </c>
    </row>
    <row r="23" spans="1:41" s="408" customFormat="1" ht="47.25" x14ac:dyDescent="0.2">
      <c r="A23" s="371">
        <v>6</v>
      </c>
      <c r="B23" s="375">
        <v>2.25</v>
      </c>
      <c r="C23" s="413" t="s">
        <v>59</v>
      </c>
      <c r="D23" s="375" t="s">
        <v>60</v>
      </c>
      <c r="E23" s="373"/>
      <c r="F23" s="373">
        <f>'allied infrastructre finishig w'!H89+'allied infrastructre finishig w'!H159</f>
        <v>3573.52</v>
      </c>
      <c r="G23" s="373">
        <f>'WEIGH BRIDGE '!I16</f>
        <v>21.676000000000005</v>
      </c>
      <c r="H23" s="373">
        <f>'WEIGH BRIDGE CABIN '!I21</f>
        <v>5.3714999999999975</v>
      </c>
      <c r="I23" s="373">
        <f>'COOLING TOWER '!I25</f>
        <v>337</v>
      </c>
      <c r="J23" s="373"/>
      <c r="K23" s="373">
        <f>'PIPE RACK FOUNDATION '!H18</f>
        <v>345.9375</v>
      </c>
      <c r="L23" s="373">
        <f>'GAS TANK STORAGE'!H19</f>
        <v>5.9460000000000015</v>
      </c>
      <c r="M23" s="373">
        <f>'DG FOUNDATION '!H20</f>
        <v>374.77600000000001</v>
      </c>
      <c r="N23" s="373">
        <f>'CHIMNEY BOILER  FOUNDATION '!I24</f>
        <v>93.302359999999993</v>
      </c>
      <c r="O23" s="373">
        <v>381</v>
      </c>
      <c r="P23" s="373">
        <f>'ELECTRICAL LINE FOUNDATION '!H19</f>
        <v>67.433999999999997</v>
      </c>
      <c r="Q23" s="373">
        <f>'PARKING '!H20</f>
        <v>75.292500000000018</v>
      </c>
      <c r="R23" s="373">
        <f>'FIRE LINE '!H17</f>
        <v>59.128666666666668</v>
      </c>
      <c r="S23" s="373">
        <v>25</v>
      </c>
      <c r="T23" s="373"/>
      <c r="U23" s="374">
        <f t="shared" si="18"/>
        <v>5365.3845266666658</v>
      </c>
      <c r="V23" s="374">
        <v>253.95</v>
      </c>
      <c r="W23" s="374">
        <f t="shared" si="1"/>
        <v>1362539.4005469996</v>
      </c>
      <c r="X23" s="375"/>
      <c r="Y23" s="376"/>
      <c r="Z23" s="408">
        <f t="shared" si="2"/>
        <v>0</v>
      </c>
      <c r="AA23" s="408">
        <f t="shared" si="3"/>
        <v>907495.40399999998</v>
      </c>
      <c r="AB23" s="408">
        <f t="shared" si="4"/>
        <v>5504.6202000000012</v>
      </c>
      <c r="AC23" s="408">
        <f t="shared" si="5"/>
        <v>1364.0924249999994</v>
      </c>
      <c r="AD23" s="408">
        <f t="shared" si="6"/>
        <v>85581.15</v>
      </c>
      <c r="AE23" s="408">
        <f t="shared" si="7"/>
        <v>0</v>
      </c>
      <c r="AF23" s="408">
        <f t="shared" si="8"/>
        <v>87850.828125</v>
      </c>
      <c r="AG23" s="408">
        <f t="shared" si="9"/>
        <v>1509.9867000000004</v>
      </c>
      <c r="AH23" s="408">
        <f t="shared" si="10"/>
        <v>95174.3652</v>
      </c>
      <c r="AI23" s="408">
        <f t="shared" si="11"/>
        <v>23694.134321999998</v>
      </c>
      <c r="AJ23" s="408">
        <f t="shared" si="12"/>
        <v>96754.95</v>
      </c>
      <c r="AK23" s="408">
        <f t="shared" si="13"/>
        <v>17124.864299999997</v>
      </c>
      <c r="AL23" s="408">
        <f t="shared" si="14"/>
        <v>19120.530375000002</v>
      </c>
      <c r="AM23" s="408">
        <f t="shared" si="15"/>
        <v>15015.724899999999</v>
      </c>
      <c r="AN23" s="408">
        <f t="shared" si="16"/>
        <v>6348.75</v>
      </c>
      <c r="AO23" s="408">
        <f t="shared" si="17"/>
        <v>0</v>
      </c>
    </row>
    <row r="24" spans="1:41" s="408" customFormat="1" ht="47.25" x14ac:dyDescent="0.2">
      <c r="A24" s="371">
        <v>7</v>
      </c>
      <c r="B24" s="375">
        <v>1.1000000000000001</v>
      </c>
      <c r="C24" s="413" t="s">
        <v>61</v>
      </c>
      <c r="D24" s="415"/>
      <c r="E24" s="373"/>
      <c r="F24" s="373"/>
      <c r="G24" s="373"/>
      <c r="H24" s="373"/>
      <c r="I24" s="373"/>
      <c r="J24" s="373"/>
      <c r="K24" s="373"/>
      <c r="L24" s="373"/>
      <c r="M24" s="373"/>
      <c r="N24" s="373"/>
      <c r="O24" s="373"/>
      <c r="P24" s="373"/>
      <c r="Q24" s="373"/>
      <c r="R24" s="373"/>
      <c r="S24" s="373"/>
      <c r="T24" s="373"/>
      <c r="U24" s="374">
        <f t="shared" si="18"/>
        <v>0</v>
      </c>
      <c r="V24" s="374"/>
      <c r="W24" s="374">
        <f t="shared" si="1"/>
        <v>0</v>
      </c>
      <c r="X24" s="375"/>
      <c r="Y24" s="376"/>
      <c r="Z24" s="408">
        <f t="shared" si="2"/>
        <v>0</v>
      </c>
      <c r="AA24" s="408">
        <f t="shared" si="3"/>
        <v>0</v>
      </c>
      <c r="AB24" s="408">
        <f t="shared" si="4"/>
        <v>0</v>
      </c>
      <c r="AC24" s="408">
        <f t="shared" si="5"/>
        <v>0</v>
      </c>
      <c r="AD24" s="408">
        <f t="shared" si="6"/>
        <v>0</v>
      </c>
      <c r="AE24" s="408">
        <f t="shared" si="7"/>
        <v>0</v>
      </c>
      <c r="AF24" s="408">
        <f t="shared" si="8"/>
        <v>0</v>
      </c>
      <c r="AG24" s="408">
        <f t="shared" si="9"/>
        <v>0</v>
      </c>
      <c r="AH24" s="408">
        <f t="shared" si="10"/>
        <v>0</v>
      </c>
      <c r="AI24" s="408">
        <f t="shared" si="11"/>
        <v>0</v>
      </c>
      <c r="AJ24" s="408">
        <f t="shared" si="12"/>
        <v>0</v>
      </c>
      <c r="AK24" s="408">
        <f t="shared" si="13"/>
        <v>0</v>
      </c>
      <c r="AL24" s="408">
        <f t="shared" si="14"/>
        <v>0</v>
      </c>
      <c r="AM24" s="408">
        <f t="shared" si="15"/>
        <v>0</v>
      </c>
      <c r="AN24" s="408">
        <f t="shared" si="16"/>
        <v>0</v>
      </c>
      <c r="AO24" s="408">
        <f t="shared" si="17"/>
        <v>0</v>
      </c>
    </row>
    <row r="25" spans="1:41" s="408" customFormat="1" ht="15.75" x14ac:dyDescent="0.2">
      <c r="A25" s="371"/>
      <c r="B25" s="375" t="s">
        <v>62</v>
      </c>
      <c r="C25" s="413" t="s">
        <v>63</v>
      </c>
      <c r="D25" s="375" t="s">
        <v>60</v>
      </c>
      <c r="E25" s="373"/>
      <c r="F25" s="373"/>
      <c r="G25" s="373">
        <f>'WEIGH BRIDGE '!I22</f>
        <v>32.233999999999995</v>
      </c>
      <c r="H25" s="373">
        <f>'WEIGH BRIDGE CABIN '!I17</f>
        <v>6.9885000000000002</v>
      </c>
      <c r="I25" s="373">
        <f>'COOLING TOWER '!I28</f>
        <v>619.01400000000012</v>
      </c>
      <c r="J25" s="373">
        <f>'FUEL YARD'!I28</f>
        <v>175.68870000000004</v>
      </c>
      <c r="K25" s="373">
        <f>'PIPE RACK FOUNDATION '!H24</f>
        <v>171.3125</v>
      </c>
      <c r="L25" s="373">
        <f>'GAS TANK STORAGE'!H25</f>
        <v>7.6620000000000008</v>
      </c>
      <c r="M25" s="373">
        <f>'DG FOUNDATION '!H25</f>
        <v>37.98399999999998</v>
      </c>
      <c r="N25" s="373">
        <f>'CHIMNEY BOILER  FOUNDATION '!I30</f>
        <v>72.643319999999989</v>
      </c>
      <c r="O25" s="373"/>
      <c r="P25" s="373">
        <f>'ELECTRICAL LINE FOUNDATION '!H25</f>
        <v>7.8060000000000116</v>
      </c>
      <c r="Q25" s="373">
        <f>'PARKING '!H31</f>
        <v>76.800000000000011</v>
      </c>
      <c r="R25" s="373">
        <f>'FIRE LINE '!H23</f>
        <v>26.876666666666672</v>
      </c>
      <c r="S25" s="373">
        <f>'PLOT BOUNDARY 103,104'!H33</f>
        <v>48</v>
      </c>
      <c r="T25" s="373">
        <f>'LIQUID STORAGE PLATFORM '!H22</f>
        <v>488.33280000000002</v>
      </c>
      <c r="U25" s="374">
        <f t="shared" si="18"/>
        <v>1771.3424866666669</v>
      </c>
      <c r="V25" s="374">
        <v>271.45</v>
      </c>
      <c r="W25" s="374">
        <f t="shared" si="1"/>
        <v>480830.9180056667</v>
      </c>
      <c r="X25" s="375"/>
      <c r="Y25" s="376"/>
      <c r="Z25" s="408">
        <f t="shared" si="2"/>
        <v>0</v>
      </c>
      <c r="AA25" s="408">
        <f t="shared" si="3"/>
        <v>0</v>
      </c>
      <c r="AB25" s="408">
        <f t="shared" si="4"/>
        <v>8749.9192999999977</v>
      </c>
      <c r="AC25" s="408">
        <f t="shared" si="5"/>
        <v>1897.028325</v>
      </c>
      <c r="AD25" s="408">
        <f t="shared" si="6"/>
        <v>168031.35030000002</v>
      </c>
      <c r="AE25" s="408">
        <f t="shared" si="7"/>
        <v>47690.697615000012</v>
      </c>
      <c r="AF25" s="408">
        <f t="shared" si="8"/>
        <v>46502.778124999997</v>
      </c>
      <c r="AG25" s="408">
        <f t="shared" si="9"/>
        <v>2079.8499000000002</v>
      </c>
      <c r="AH25" s="408">
        <f t="shared" si="10"/>
        <v>10310.756799999994</v>
      </c>
      <c r="AI25" s="408">
        <f t="shared" si="11"/>
        <v>19719.029213999995</v>
      </c>
      <c r="AJ25" s="408">
        <f t="shared" si="12"/>
        <v>0</v>
      </c>
      <c r="AK25" s="408">
        <f t="shared" si="13"/>
        <v>2118.9387000000029</v>
      </c>
      <c r="AL25" s="408">
        <f t="shared" si="14"/>
        <v>20847.36</v>
      </c>
      <c r="AM25" s="408">
        <f t="shared" si="15"/>
        <v>7295.6711666666679</v>
      </c>
      <c r="AN25" s="408">
        <f t="shared" si="16"/>
        <v>13029.599999999999</v>
      </c>
      <c r="AO25" s="408">
        <f t="shared" si="17"/>
        <v>132557.93856000001</v>
      </c>
    </row>
    <row r="26" spans="1:41" s="408" customFormat="1" ht="15.75" x14ac:dyDescent="0.2">
      <c r="A26" s="371"/>
      <c r="B26" s="375" t="s">
        <v>64</v>
      </c>
      <c r="C26" s="413" t="s">
        <v>65</v>
      </c>
      <c r="D26" s="375" t="s">
        <v>60</v>
      </c>
      <c r="E26" s="373"/>
      <c r="F26" s="373">
        <f>'allied infrastructre finishig w'!H97</f>
        <v>2895.36</v>
      </c>
      <c r="G26" s="373"/>
      <c r="H26" s="373"/>
      <c r="I26" s="373"/>
      <c r="J26" s="373"/>
      <c r="K26" s="373"/>
      <c r="L26" s="373"/>
      <c r="M26" s="373"/>
      <c r="N26" s="373"/>
      <c r="O26" s="373"/>
      <c r="P26" s="373"/>
      <c r="Q26" s="373"/>
      <c r="R26" s="373"/>
      <c r="S26" s="373"/>
      <c r="T26" s="373"/>
      <c r="U26" s="374">
        <f t="shared" si="18"/>
        <v>2895.36</v>
      </c>
      <c r="V26" s="374">
        <v>434.32</v>
      </c>
      <c r="W26" s="374">
        <f t="shared" si="1"/>
        <v>1257512.7552</v>
      </c>
      <c r="X26" s="375"/>
      <c r="Y26" s="376"/>
      <c r="Z26" s="408">
        <f t="shared" si="2"/>
        <v>0</v>
      </c>
      <c r="AA26" s="408">
        <f t="shared" si="3"/>
        <v>1257512.7552</v>
      </c>
      <c r="AB26" s="408">
        <f t="shared" si="4"/>
        <v>0</v>
      </c>
      <c r="AC26" s="408">
        <f t="shared" si="5"/>
        <v>0</v>
      </c>
      <c r="AD26" s="408">
        <f t="shared" si="6"/>
        <v>0</v>
      </c>
      <c r="AE26" s="408">
        <f t="shared" si="7"/>
        <v>0</v>
      </c>
      <c r="AF26" s="408">
        <f t="shared" si="8"/>
        <v>0</v>
      </c>
      <c r="AG26" s="408">
        <f t="shared" si="9"/>
        <v>0</v>
      </c>
      <c r="AH26" s="408">
        <f t="shared" si="10"/>
        <v>0</v>
      </c>
      <c r="AI26" s="408">
        <f t="shared" si="11"/>
        <v>0</v>
      </c>
      <c r="AJ26" s="408">
        <f t="shared" si="12"/>
        <v>0</v>
      </c>
      <c r="AK26" s="408">
        <f t="shared" si="13"/>
        <v>0</v>
      </c>
      <c r="AL26" s="408">
        <f t="shared" si="14"/>
        <v>0</v>
      </c>
      <c r="AM26" s="408">
        <f t="shared" si="15"/>
        <v>0</v>
      </c>
      <c r="AN26" s="408">
        <f t="shared" si="16"/>
        <v>0</v>
      </c>
      <c r="AO26" s="408">
        <f t="shared" si="17"/>
        <v>0</v>
      </c>
    </row>
    <row r="27" spans="1:41" s="408" customFormat="1" ht="78.75" x14ac:dyDescent="0.2">
      <c r="A27" s="371">
        <v>8</v>
      </c>
      <c r="B27" s="416">
        <v>810</v>
      </c>
      <c r="C27" s="417" t="s">
        <v>451</v>
      </c>
      <c r="D27" s="375"/>
      <c r="E27" s="373"/>
      <c r="F27" s="373"/>
      <c r="G27" s="373"/>
      <c r="H27" s="373"/>
      <c r="I27" s="373"/>
      <c r="J27" s="373"/>
      <c r="K27" s="373"/>
      <c r="L27" s="373"/>
      <c r="M27" s="373"/>
      <c r="N27" s="373"/>
      <c r="O27" s="373"/>
      <c r="P27" s="373"/>
      <c r="Q27" s="373"/>
      <c r="R27" s="373"/>
      <c r="S27" s="373"/>
      <c r="T27" s="373"/>
      <c r="U27" s="374">
        <f t="shared" si="18"/>
        <v>0</v>
      </c>
      <c r="V27" s="374"/>
      <c r="W27" s="374">
        <f t="shared" si="1"/>
        <v>0</v>
      </c>
      <c r="X27" s="375"/>
      <c r="Y27" s="376"/>
      <c r="Z27" s="408">
        <f t="shared" si="2"/>
        <v>0</v>
      </c>
      <c r="AA27" s="408">
        <f t="shared" si="3"/>
        <v>0</v>
      </c>
      <c r="AB27" s="408">
        <f t="shared" si="4"/>
        <v>0</v>
      </c>
      <c r="AC27" s="408">
        <f t="shared" si="5"/>
        <v>0</v>
      </c>
      <c r="AD27" s="408">
        <f t="shared" si="6"/>
        <v>0</v>
      </c>
      <c r="AE27" s="408">
        <f t="shared" si="7"/>
        <v>0</v>
      </c>
      <c r="AF27" s="408">
        <f t="shared" si="8"/>
        <v>0</v>
      </c>
      <c r="AG27" s="408">
        <f t="shared" si="9"/>
        <v>0</v>
      </c>
      <c r="AH27" s="408">
        <f t="shared" si="10"/>
        <v>0</v>
      </c>
      <c r="AI27" s="408">
        <f t="shared" si="11"/>
        <v>0</v>
      </c>
      <c r="AJ27" s="408">
        <f t="shared" si="12"/>
        <v>0</v>
      </c>
      <c r="AK27" s="408">
        <f t="shared" si="13"/>
        <v>0</v>
      </c>
      <c r="AL27" s="408">
        <f t="shared" si="14"/>
        <v>0</v>
      </c>
      <c r="AM27" s="408">
        <f t="shared" si="15"/>
        <v>0</v>
      </c>
      <c r="AN27" s="408">
        <f t="shared" si="16"/>
        <v>0</v>
      </c>
      <c r="AO27" s="408">
        <f t="shared" si="17"/>
        <v>0</v>
      </c>
    </row>
    <row r="28" spans="1:41" s="408" customFormat="1" ht="15.75" x14ac:dyDescent="0.2">
      <c r="A28" s="371"/>
      <c r="B28" s="416">
        <v>810</v>
      </c>
      <c r="C28" s="413" t="s">
        <v>66</v>
      </c>
      <c r="D28" s="375" t="s">
        <v>60</v>
      </c>
      <c r="E28" s="373"/>
      <c r="F28" s="373">
        <f>'allied infrastructre finishig w'!H160</f>
        <v>13048</v>
      </c>
      <c r="G28" s="373"/>
      <c r="H28" s="373">
        <f>'WEIGH BRIDGE CABIN '!I26</f>
        <v>5.3714999999999975</v>
      </c>
      <c r="I28" s="373">
        <f>'COOLING TOWER '!I31</f>
        <v>337.02240000000023</v>
      </c>
      <c r="J28" s="373">
        <f>'FUEL YARD'!I31</f>
        <v>228</v>
      </c>
      <c r="K28" s="373"/>
      <c r="L28" s="373">
        <f>'GAS TANK STORAGE'!H28</f>
        <v>542.62400000000002</v>
      </c>
      <c r="M28" s="373">
        <f>'DG FOUNDATION '!H28</f>
        <v>222.67599999999999</v>
      </c>
      <c r="N28" s="373"/>
      <c r="O28" s="373"/>
      <c r="P28" s="373">
        <f>'ELECTRICAL LINE FOUNDATION '!H28</f>
        <v>0.75</v>
      </c>
      <c r="Q28" s="373">
        <f>'PARKING '!H34</f>
        <v>528</v>
      </c>
      <c r="R28" s="373"/>
      <c r="S28" s="373">
        <v>25</v>
      </c>
      <c r="T28" s="373">
        <f>'LIQUID STORAGE PLATFORM '!H25</f>
        <v>207.2</v>
      </c>
      <c r="U28" s="374">
        <f t="shared" si="18"/>
        <v>15144.643899999999</v>
      </c>
      <c r="V28" s="374">
        <v>500</v>
      </c>
      <c r="W28" s="374">
        <f t="shared" si="1"/>
        <v>7572321.9499999993</v>
      </c>
      <c r="X28" s="375"/>
      <c r="Y28" s="376"/>
      <c r="Z28" s="408">
        <f t="shared" si="2"/>
        <v>0</v>
      </c>
      <c r="AA28" s="408">
        <f t="shared" si="3"/>
        <v>6524000</v>
      </c>
      <c r="AB28" s="408">
        <f t="shared" si="4"/>
        <v>0</v>
      </c>
      <c r="AC28" s="408">
        <f t="shared" si="5"/>
        <v>2685.7499999999986</v>
      </c>
      <c r="AD28" s="408">
        <f t="shared" si="6"/>
        <v>168511.20000000013</v>
      </c>
      <c r="AE28" s="408">
        <f t="shared" si="7"/>
        <v>114000</v>
      </c>
      <c r="AF28" s="408">
        <f t="shared" si="8"/>
        <v>0</v>
      </c>
      <c r="AG28" s="408">
        <f t="shared" si="9"/>
        <v>271312</v>
      </c>
      <c r="AH28" s="408">
        <f t="shared" si="10"/>
        <v>111338</v>
      </c>
      <c r="AI28" s="408">
        <f t="shared" si="11"/>
        <v>0</v>
      </c>
      <c r="AJ28" s="408">
        <f t="shared" si="12"/>
        <v>0</v>
      </c>
      <c r="AK28" s="408">
        <f t="shared" si="13"/>
        <v>375</v>
      </c>
      <c r="AL28" s="408">
        <f t="shared" si="14"/>
        <v>264000</v>
      </c>
      <c r="AM28" s="408">
        <f t="shared" si="15"/>
        <v>0</v>
      </c>
      <c r="AN28" s="408">
        <f t="shared" si="16"/>
        <v>12500</v>
      </c>
      <c r="AO28" s="408">
        <f t="shared" si="17"/>
        <v>103600</v>
      </c>
    </row>
    <row r="29" spans="1:41" s="408" customFormat="1" ht="15.75" x14ac:dyDescent="0.2">
      <c r="A29" s="371"/>
      <c r="B29" s="416">
        <v>983</v>
      </c>
      <c r="C29" s="413" t="s">
        <v>67</v>
      </c>
      <c r="D29" s="375" t="s">
        <v>60</v>
      </c>
      <c r="E29" s="373"/>
      <c r="F29" s="373"/>
      <c r="G29" s="373"/>
      <c r="H29" s="373"/>
      <c r="I29" s="373"/>
      <c r="J29" s="373"/>
      <c r="K29" s="373"/>
      <c r="L29" s="373"/>
      <c r="M29" s="373"/>
      <c r="N29" s="373"/>
      <c r="O29" s="373"/>
      <c r="P29" s="373"/>
      <c r="Q29" s="373"/>
      <c r="R29" s="373"/>
      <c r="S29" s="373"/>
      <c r="T29" s="373"/>
      <c r="U29" s="374">
        <f t="shared" si="18"/>
        <v>0</v>
      </c>
      <c r="V29" s="374">
        <v>900</v>
      </c>
      <c r="W29" s="374">
        <f t="shared" si="1"/>
        <v>0</v>
      </c>
      <c r="X29" s="375"/>
      <c r="Y29" s="376"/>
      <c r="Z29" s="408">
        <f t="shared" si="2"/>
        <v>0</v>
      </c>
      <c r="AA29" s="408">
        <f t="shared" si="3"/>
        <v>0</v>
      </c>
      <c r="AB29" s="408">
        <f t="shared" si="4"/>
        <v>0</v>
      </c>
      <c r="AC29" s="408">
        <f t="shared" si="5"/>
        <v>0</v>
      </c>
      <c r="AD29" s="408">
        <f t="shared" si="6"/>
        <v>0</v>
      </c>
      <c r="AE29" s="408">
        <f t="shared" si="7"/>
        <v>0</v>
      </c>
      <c r="AF29" s="408">
        <f t="shared" si="8"/>
        <v>0</v>
      </c>
      <c r="AG29" s="408">
        <f t="shared" si="9"/>
        <v>0</v>
      </c>
      <c r="AH29" s="408">
        <f t="shared" si="10"/>
        <v>0</v>
      </c>
      <c r="AI29" s="408">
        <f t="shared" si="11"/>
        <v>0</v>
      </c>
      <c r="AJ29" s="408">
        <f t="shared" si="12"/>
        <v>0</v>
      </c>
      <c r="AK29" s="408">
        <f t="shared" si="13"/>
        <v>0</v>
      </c>
      <c r="AL29" s="408">
        <f t="shared" si="14"/>
        <v>0</v>
      </c>
      <c r="AM29" s="408">
        <f t="shared" si="15"/>
        <v>0</v>
      </c>
      <c r="AN29" s="408">
        <f t="shared" si="16"/>
        <v>0</v>
      </c>
      <c r="AO29" s="408">
        <f t="shared" si="17"/>
        <v>0</v>
      </c>
    </row>
    <row r="30" spans="1:41" s="408" customFormat="1" ht="15.75" x14ac:dyDescent="0.2">
      <c r="A30" s="371"/>
      <c r="B30" s="416">
        <v>982</v>
      </c>
      <c r="C30" s="413" t="s">
        <v>68</v>
      </c>
      <c r="D30" s="375" t="s">
        <v>60</v>
      </c>
      <c r="E30" s="373"/>
      <c r="F30" s="373"/>
      <c r="G30" s="373"/>
      <c r="H30" s="373"/>
      <c r="I30" s="373"/>
      <c r="J30" s="373"/>
      <c r="K30" s="373"/>
      <c r="L30" s="373"/>
      <c r="M30" s="373"/>
      <c r="N30" s="373"/>
      <c r="O30" s="373"/>
      <c r="P30" s="373"/>
      <c r="Q30" s="373"/>
      <c r="R30" s="373"/>
      <c r="S30" s="373"/>
      <c r="T30" s="373"/>
      <c r="U30" s="374">
        <f t="shared" si="18"/>
        <v>0</v>
      </c>
      <c r="V30" s="374">
        <v>1500</v>
      </c>
      <c r="W30" s="374">
        <f t="shared" si="1"/>
        <v>0</v>
      </c>
      <c r="X30" s="375"/>
      <c r="Y30" s="376"/>
      <c r="Z30" s="408">
        <f t="shared" si="2"/>
        <v>0</v>
      </c>
      <c r="AA30" s="408">
        <f t="shared" si="3"/>
        <v>0</v>
      </c>
      <c r="AB30" s="408">
        <f t="shared" si="4"/>
        <v>0</v>
      </c>
      <c r="AC30" s="408">
        <f t="shared" si="5"/>
        <v>0</v>
      </c>
      <c r="AD30" s="408">
        <f t="shared" si="6"/>
        <v>0</v>
      </c>
      <c r="AE30" s="408">
        <f t="shared" si="7"/>
        <v>0</v>
      </c>
      <c r="AF30" s="408">
        <f t="shared" si="8"/>
        <v>0</v>
      </c>
      <c r="AG30" s="408">
        <f t="shared" si="9"/>
        <v>0</v>
      </c>
      <c r="AH30" s="408">
        <f t="shared" si="10"/>
        <v>0</v>
      </c>
      <c r="AI30" s="408">
        <f t="shared" si="11"/>
        <v>0</v>
      </c>
      <c r="AJ30" s="408">
        <f t="shared" si="12"/>
        <v>0</v>
      </c>
      <c r="AK30" s="408">
        <f t="shared" si="13"/>
        <v>0</v>
      </c>
      <c r="AL30" s="408">
        <f t="shared" si="14"/>
        <v>0</v>
      </c>
      <c r="AM30" s="408">
        <f t="shared" si="15"/>
        <v>0</v>
      </c>
      <c r="AN30" s="408">
        <f t="shared" si="16"/>
        <v>0</v>
      </c>
      <c r="AO30" s="408">
        <f t="shared" si="17"/>
        <v>0</v>
      </c>
    </row>
    <row r="31" spans="1:41" s="408" customFormat="1" ht="15.75" x14ac:dyDescent="0.2">
      <c r="A31" s="371"/>
      <c r="B31" s="375"/>
      <c r="C31" s="413" t="s">
        <v>69</v>
      </c>
      <c r="D31" s="375"/>
      <c r="E31" s="373"/>
      <c r="F31" s="373"/>
      <c r="G31" s="373"/>
      <c r="H31" s="373"/>
      <c r="I31" s="373"/>
      <c r="J31" s="373"/>
      <c r="K31" s="373"/>
      <c r="L31" s="373"/>
      <c r="M31" s="373"/>
      <c r="N31" s="373"/>
      <c r="O31" s="373"/>
      <c r="P31" s="373"/>
      <c r="Q31" s="373"/>
      <c r="R31" s="373"/>
      <c r="S31" s="373"/>
      <c r="T31" s="373"/>
      <c r="U31" s="374">
        <f t="shared" si="18"/>
        <v>0</v>
      </c>
      <c r="V31" s="374"/>
      <c r="W31" s="374">
        <f t="shared" si="1"/>
        <v>0</v>
      </c>
      <c r="X31" s="375"/>
      <c r="Y31" s="376"/>
      <c r="Z31" s="408">
        <f t="shared" si="2"/>
        <v>0</v>
      </c>
      <c r="AA31" s="408">
        <f t="shared" si="3"/>
        <v>0</v>
      </c>
      <c r="AB31" s="408">
        <f t="shared" si="4"/>
        <v>0</v>
      </c>
      <c r="AC31" s="408">
        <f t="shared" si="5"/>
        <v>0</v>
      </c>
      <c r="AD31" s="408">
        <f t="shared" si="6"/>
        <v>0</v>
      </c>
      <c r="AE31" s="408">
        <f t="shared" si="7"/>
        <v>0</v>
      </c>
      <c r="AF31" s="408">
        <f t="shared" si="8"/>
        <v>0</v>
      </c>
      <c r="AG31" s="408">
        <f t="shared" si="9"/>
        <v>0</v>
      </c>
      <c r="AH31" s="408">
        <f t="shared" si="10"/>
        <v>0</v>
      </c>
      <c r="AI31" s="408">
        <f t="shared" si="11"/>
        <v>0</v>
      </c>
      <c r="AJ31" s="408">
        <f t="shared" si="12"/>
        <v>0</v>
      </c>
      <c r="AK31" s="408">
        <f t="shared" si="13"/>
        <v>0</v>
      </c>
      <c r="AL31" s="408">
        <f t="shared" si="14"/>
        <v>0</v>
      </c>
      <c r="AM31" s="408">
        <f t="shared" si="15"/>
        <v>0</v>
      </c>
      <c r="AN31" s="408">
        <f t="shared" si="16"/>
        <v>0</v>
      </c>
      <c r="AO31" s="408">
        <f t="shared" si="17"/>
        <v>0</v>
      </c>
    </row>
    <row r="32" spans="1:41" s="408" customFormat="1" ht="94.5" x14ac:dyDescent="0.2">
      <c r="A32" s="371">
        <v>10</v>
      </c>
      <c r="B32" s="375" t="s">
        <v>70</v>
      </c>
      <c r="C32" s="413" t="s">
        <v>71</v>
      </c>
      <c r="D32" s="418"/>
      <c r="E32" s="373"/>
      <c r="F32" s="373"/>
      <c r="G32" s="373"/>
      <c r="H32" s="373"/>
      <c r="I32" s="373"/>
      <c r="J32" s="373"/>
      <c r="K32" s="373"/>
      <c r="L32" s="373"/>
      <c r="M32" s="373"/>
      <c r="N32" s="373"/>
      <c r="O32" s="373"/>
      <c r="P32" s="373"/>
      <c r="Q32" s="373"/>
      <c r="R32" s="373"/>
      <c r="S32" s="373"/>
      <c r="T32" s="373"/>
      <c r="U32" s="374">
        <f t="shared" si="18"/>
        <v>0</v>
      </c>
      <c r="V32" s="374"/>
      <c r="W32" s="374">
        <f t="shared" si="1"/>
        <v>0</v>
      </c>
      <c r="X32" s="375"/>
      <c r="Y32" s="376"/>
      <c r="Z32" s="408">
        <f t="shared" si="2"/>
        <v>0</v>
      </c>
      <c r="AA32" s="408">
        <f t="shared" si="3"/>
        <v>0</v>
      </c>
      <c r="AB32" s="408">
        <f t="shared" si="4"/>
        <v>0</v>
      </c>
      <c r="AC32" s="408">
        <f t="shared" si="5"/>
        <v>0</v>
      </c>
      <c r="AD32" s="408">
        <f t="shared" si="6"/>
        <v>0</v>
      </c>
      <c r="AE32" s="408">
        <f t="shared" si="7"/>
        <v>0</v>
      </c>
      <c r="AF32" s="408">
        <f t="shared" si="8"/>
        <v>0</v>
      </c>
      <c r="AG32" s="408">
        <f t="shared" si="9"/>
        <v>0</v>
      </c>
      <c r="AH32" s="408">
        <f t="shared" si="10"/>
        <v>0</v>
      </c>
      <c r="AI32" s="408">
        <f t="shared" si="11"/>
        <v>0</v>
      </c>
      <c r="AJ32" s="408">
        <f t="shared" si="12"/>
        <v>0</v>
      </c>
      <c r="AK32" s="408">
        <f t="shared" si="13"/>
        <v>0</v>
      </c>
      <c r="AL32" s="408">
        <f t="shared" si="14"/>
        <v>0</v>
      </c>
      <c r="AM32" s="408">
        <f t="shared" si="15"/>
        <v>0</v>
      </c>
      <c r="AN32" s="408">
        <f t="shared" si="16"/>
        <v>0</v>
      </c>
      <c r="AO32" s="408">
        <f t="shared" si="17"/>
        <v>0</v>
      </c>
    </row>
    <row r="33" spans="1:41" s="408" customFormat="1" ht="15.75" x14ac:dyDescent="0.2">
      <c r="A33" s="371"/>
      <c r="B33" s="375"/>
      <c r="C33" s="413" t="s">
        <v>72</v>
      </c>
      <c r="D33" s="375" t="s">
        <v>73</v>
      </c>
      <c r="E33" s="373"/>
      <c r="F33" s="373">
        <v>50</v>
      </c>
      <c r="G33" s="373"/>
      <c r="H33" s="373">
        <f>'WEIGH BRIDGE CABIN '!I37</f>
        <v>6</v>
      </c>
      <c r="I33" s="373"/>
      <c r="J33" s="373"/>
      <c r="K33" s="373"/>
      <c r="L33" s="373">
        <f>'GAS TANK STORAGE'!H34-1.22</f>
        <v>10.339999999999998</v>
      </c>
      <c r="M33" s="373"/>
      <c r="N33" s="373"/>
      <c r="O33" s="373">
        <f>'HT YARD WITH CABLE TRENCH '!H30</f>
        <v>504</v>
      </c>
      <c r="P33" s="373"/>
      <c r="Q33" s="373"/>
      <c r="R33" s="373"/>
      <c r="S33" s="373"/>
      <c r="T33" s="373"/>
      <c r="U33" s="374">
        <f t="shared" si="18"/>
        <v>570.34</v>
      </c>
      <c r="V33" s="374">
        <v>53</v>
      </c>
      <c r="W33" s="374">
        <f t="shared" si="1"/>
        <v>30228.02</v>
      </c>
      <c r="X33" s="375"/>
      <c r="Y33" s="376"/>
      <c r="Z33" s="408">
        <f t="shared" si="2"/>
        <v>0</v>
      </c>
      <c r="AA33" s="408">
        <f t="shared" si="3"/>
        <v>2650</v>
      </c>
      <c r="AB33" s="408">
        <f t="shared" si="4"/>
        <v>0</v>
      </c>
      <c r="AC33" s="408">
        <f t="shared" si="5"/>
        <v>318</v>
      </c>
      <c r="AD33" s="408">
        <f t="shared" si="6"/>
        <v>0</v>
      </c>
      <c r="AE33" s="408">
        <f t="shared" si="7"/>
        <v>0</v>
      </c>
      <c r="AF33" s="408">
        <f t="shared" si="8"/>
        <v>0</v>
      </c>
      <c r="AG33" s="408">
        <f t="shared" si="9"/>
        <v>548.01999999999987</v>
      </c>
      <c r="AH33" s="408">
        <f t="shared" si="10"/>
        <v>0</v>
      </c>
      <c r="AI33" s="408">
        <f t="shared" si="11"/>
        <v>0</v>
      </c>
      <c r="AJ33" s="408">
        <f t="shared" si="12"/>
        <v>26712</v>
      </c>
      <c r="AK33" s="408">
        <f t="shared" si="13"/>
        <v>0</v>
      </c>
      <c r="AL33" s="408">
        <f t="shared" si="14"/>
        <v>0</v>
      </c>
      <c r="AM33" s="408">
        <f t="shared" si="15"/>
        <v>0</v>
      </c>
      <c r="AN33" s="408">
        <f t="shared" si="16"/>
        <v>0</v>
      </c>
      <c r="AO33" s="408">
        <f t="shared" si="17"/>
        <v>0</v>
      </c>
    </row>
    <row r="34" spans="1:41" s="408" customFormat="1" ht="31.5" x14ac:dyDescent="0.2">
      <c r="A34" s="371">
        <v>11</v>
      </c>
      <c r="B34" s="375">
        <v>4.0999999999999996</v>
      </c>
      <c r="C34" s="413" t="s">
        <v>74</v>
      </c>
      <c r="D34" s="375"/>
      <c r="E34" s="373"/>
      <c r="F34" s="373"/>
      <c r="G34" s="373"/>
      <c r="H34" s="373"/>
      <c r="I34" s="373"/>
      <c r="J34" s="373"/>
      <c r="K34" s="373"/>
      <c r="L34" s="373"/>
      <c r="M34" s="373"/>
      <c r="N34" s="373"/>
      <c r="O34" s="373"/>
      <c r="P34" s="373"/>
      <c r="Q34" s="373"/>
      <c r="R34" s="373"/>
      <c r="S34" s="373"/>
      <c r="T34" s="373"/>
      <c r="U34" s="374">
        <f t="shared" si="18"/>
        <v>0</v>
      </c>
      <c r="V34" s="374"/>
      <c r="W34" s="374">
        <f t="shared" si="1"/>
        <v>0</v>
      </c>
      <c r="X34" s="375"/>
      <c r="Y34" s="376"/>
      <c r="Z34" s="408">
        <f t="shared" si="2"/>
        <v>0</v>
      </c>
      <c r="AA34" s="408">
        <f t="shared" si="3"/>
        <v>0</v>
      </c>
      <c r="AB34" s="408">
        <f t="shared" si="4"/>
        <v>0</v>
      </c>
      <c r="AC34" s="408">
        <f t="shared" si="5"/>
        <v>0</v>
      </c>
      <c r="AD34" s="408">
        <f t="shared" si="6"/>
        <v>0</v>
      </c>
      <c r="AE34" s="408">
        <f t="shared" si="7"/>
        <v>0</v>
      </c>
      <c r="AF34" s="408">
        <f t="shared" si="8"/>
        <v>0</v>
      </c>
      <c r="AG34" s="408">
        <f t="shared" si="9"/>
        <v>0</v>
      </c>
      <c r="AH34" s="408">
        <f t="shared" si="10"/>
        <v>0</v>
      </c>
      <c r="AI34" s="408">
        <f t="shared" si="11"/>
        <v>0</v>
      </c>
      <c r="AJ34" s="408">
        <f t="shared" si="12"/>
        <v>0</v>
      </c>
      <c r="AK34" s="408">
        <f t="shared" si="13"/>
        <v>0</v>
      </c>
      <c r="AL34" s="408">
        <f t="shared" si="14"/>
        <v>0</v>
      </c>
      <c r="AM34" s="408">
        <f t="shared" si="15"/>
        <v>0</v>
      </c>
      <c r="AN34" s="408">
        <f t="shared" si="16"/>
        <v>0</v>
      </c>
      <c r="AO34" s="408">
        <f t="shared" si="17"/>
        <v>0</v>
      </c>
    </row>
    <row r="35" spans="1:41" s="408" customFormat="1" ht="15.75" x14ac:dyDescent="0.2">
      <c r="A35" s="371"/>
      <c r="B35" s="375"/>
      <c r="C35" s="413"/>
      <c r="D35" s="375"/>
      <c r="E35" s="373"/>
      <c r="F35" s="373"/>
      <c r="G35" s="373"/>
      <c r="H35" s="373"/>
      <c r="I35" s="373"/>
      <c r="J35" s="373"/>
      <c r="K35" s="373"/>
      <c r="L35" s="373"/>
      <c r="M35" s="373"/>
      <c r="N35" s="373"/>
      <c r="O35" s="373"/>
      <c r="P35" s="373"/>
      <c r="Q35" s="373"/>
      <c r="R35" s="373"/>
      <c r="S35" s="373"/>
      <c r="T35" s="373"/>
      <c r="U35" s="374">
        <f t="shared" si="18"/>
        <v>0</v>
      </c>
      <c r="V35" s="374"/>
      <c r="W35" s="374">
        <f t="shared" si="1"/>
        <v>0</v>
      </c>
      <c r="X35" s="375"/>
      <c r="Y35" s="376"/>
      <c r="Z35" s="408">
        <f t="shared" si="2"/>
        <v>0</v>
      </c>
      <c r="AA35" s="408">
        <f t="shared" si="3"/>
        <v>0</v>
      </c>
      <c r="AB35" s="408">
        <f t="shared" si="4"/>
        <v>0</v>
      </c>
      <c r="AC35" s="408">
        <f t="shared" si="5"/>
        <v>0</v>
      </c>
      <c r="AD35" s="408">
        <f t="shared" si="6"/>
        <v>0</v>
      </c>
      <c r="AE35" s="408">
        <f t="shared" si="7"/>
        <v>0</v>
      </c>
      <c r="AF35" s="408">
        <f t="shared" si="8"/>
        <v>0</v>
      </c>
      <c r="AG35" s="408">
        <f t="shared" si="9"/>
        <v>0</v>
      </c>
      <c r="AH35" s="408">
        <f t="shared" si="10"/>
        <v>0</v>
      </c>
      <c r="AI35" s="408">
        <f t="shared" si="11"/>
        <v>0</v>
      </c>
      <c r="AJ35" s="408">
        <f t="shared" si="12"/>
        <v>0</v>
      </c>
      <c r="AK35" s="408">
        <f t="shared" si="13"/>
        <v>0</v>
      </c>
      <c r="AL35" s="408">
        <f t="shared" si="14"/>
        <v>0</v>
      </c>
      <c r="AM35" s="408">
        <f t="shared" si="15"/>
        <v>0</v>
      </c>
      <c r="AN35" s="408">
        <f t="shared" si="16"/>
        <v>0</v>
      </c>
      <c r="AO35" s="408">
        <f t="shared" si="17"/>
        <v>0</v>
      </c>
    </row>
    <row r="36" spans="1:41" s="408" customFormat="1" ht="31.5" x14ac:dyDescent="0.2">
      <c r="A36" s="371">
        <v>12</v>
      </c>
      <c r="B36" s="375" t="s">
        <v>75</v>
      </c>
      <c r="C36" s="413" t="s">
        <v>76</v>
      </c>
      <c r="D36" s="375" t="s">
        <v>43</v>
      </c>
      <c r="E36" s="373">
        <f>'allied infrastructre finishig w'!H61</f>
        <v>40.300000000000004</v>
      </c>
      <c r="F36" s="373">
        <f>'allied infrastructre finishig w'!H104</f>
        <v>111.83999999999999</v>
      </c>
      <c r="G36" s="373">
        <f>'WEIGH BRIDGE '!I31</f>
        <v>4.5139999999999993</v>
      </c>
      <c r="H36" s="373">
        <f>'WEIGH BRIDGE CABIN '!I41</f>
        <v>1.1875</v>
      </c>
      <c r="I36" s="373">
        <f>'COOLING TOWER '!I41</f>
        <v>20.991599999999998</v>
      </c>
      <c r="J36" s="373">
        <f>'FUEL YARD'!I43</f>
        <v>22.163999999999998</v>
      </c>
      <c r="K36" s="373">
        <f>'PIPE RACK FOUNDATION '!H27</f>
        <v>39.0625</v>
      </c>
      <c r="L36" s="373">
        <f>'GAS TANK STORAGE'!H37</f>
        <v>1.7160000000000002</v>
      </c>
      <c r="M36" s="373">
        <f>'DG FOUNDATION '!H40</f>
        <v>37.983999999999995</v>
      </c>
      <c r="N36" s="373">
        <f>'CHIMNEY BOILER  FOUNDATION '!I44</f>
        <v>13.818320000000002</v>
      </c>
      <c r="O36" s="373">
        <f>'HT YARD WITH CABLE TRENCH '!H31</f>
        <v>20.625999999999998</v>
      </c>
      <c r="P36" s="373">
        <f>'ELECTRICAL LINE FOUNDATION '!H39</f>
        <v>4.647000000000002</v>
      </c>
      <c r="Q36" s="373">
        <f>'PARKING '!H44</f>
        <v>106.13249999999999</v>
      </c>
      <c r="R36" s="373">
        <f>'FIRE LINE '!H37</f>
        <v>7.3300000000000018</v>
      </c>
      <c r="S36" s="373">
        <f>'PLOT BOUNDARY 103,104'!H9</f>
        <v>3.8025000000000002</v>
      </c>
      <c r="T36" s="373">
        <f>'LIQUID STORAGE PLATFORM '!H35</f>
        <v>14.095460000000001</v>
      </c>
      <c r="U36" s="374">
        <f t="shared" si="18"/>
        <v>450.21137999999996</v>
      </c>
      <c r="V36" s="374">
        <v>6833.4</v>
      </c>
      <c r="W36" s="374">
        <f t="shared" si="1"/>
        <v>3076474.4440919994</v>
      </c>
      <c r="X36" s="375"/>
      <c r="Y36" s="376"/>
      <c r="Z36" s="408">
        <f t="shared" si="2"/>
        <v>275386.02</v>
      </c>
      <c r="AA36" s="408">
        <f t="shared" si="3"/>
        <v>764247.45599999989</v>
      </c>
      <c r="AB36" s="408">
        <f t="shared" si="4"/>
        <v>30845.967599999993</v>
      </c>
      <c r="AC36" s="408">
        <f t="shared" si="5"/>
        <v>8114.6624999999995</v>
      </c>
      <c r="AD36" s="408">
        <f t="shared" si="6"/>
        <v>143443.99943999999</v>
      </c>
      <c r="AE36" s="408">
        <f t="shared" si="7"/>
        <v>151455.47759999998</v>
      </c>
      <c r="AF36" s="408">
        <f t="shared" si="8"/>
        <v>266929.6875</v>
      </c>
      <c r="AG36" s="408">
        <f t="shared" si="9"/>
        <v>11726.1144</v>
      </c>
      <c r="AH36" s="408">
        <f t="shared" si="10"/>
        <v>259559.86559999996</v>
      </c>
      <c r="AI36" s="408">
        <f t="shared" si="11"/>
        <v>94426.107888000013</v>
      </c>
      <c r="AJ36" s="408">
        <f t="shared" si="12"/>
        <v>140945.70839999997</v>
      </c>
      <c r="AK36" s="408">
        <f t="shared" si="13"/>
        <v>31754.809800000014</v>
      </c>
      <c r="AL36" s="408">
        <f t="shared" si="14"/>
        <v>725245.82549999992</v>
      </c>
      <c r="AM36" s="408">
        <f t="shared" si="15"/>
        <v>50088.822000000007</v>
      </c>
      <c r="AN36" s="408">
        <f t="shared" si="16"/>
        <v>25984.003499999999</v>
      </c>
      <c r="AO36" s="408">
        <f t="shared" si="17"/>
        <v>96319.916364000004</v>
      </c>
    </row>
    <row r="37" spans="1:41" s="408" customFormat="1" ht="15.75" x14ac:dyDescent="0.2">
      <c r="A37" s="371"/>
      <c r="B37" s="375"/>
      <c r="C37" s="413"/>
      <c r="D37" s="375"/>
      <c r="E37" s="373"/>
      <c r="F37" s="373"/>
      <c r="G37" s="373"/>
      <c r="H37" s="373"/>
      <c r="I37" s="373"/>
      <c r="J37" s="373"/>
      <c r="K37" s="373"/>
      <c r="L37" s="373"/>
      <c r="M37" s="373"/>
      <c r="N37" s="373"/>
      <c r="O37" s="373"/>
      <c r="P37" s="373"/>
      <c r="Q37" s="373"/>
      <c r="R37" s="373"/>
      <c r="S37" s="373"/>
      <c r="T37" s="373"/>
      <c r="U37" s="374">
        <f t="shared" si="18"/>
        <v>0</v>
      </c>
      <c r="V37" s="374"/>
      <c r="W37" s="374">
        <f t="shared" si="1"/>
        <v>0</v>
      </c>
      <c r="X37" s="375"/>
      <c r="Y37" s="376"/>
      <c r="Z37" s="408">
        <f t="shared" si="2"/>
        <v>0</v>
      </c>
      <c r="AA37" s="408">
        <f t="shared" si="3"/>
        <v>0</v>
      </c>
      <c r="AB37" s="408">
        <f t="shared" si="4"/>
        <v>0</v>
      </c>
      <c r="AC37" s="408">
        <f t="shared" si="5"/>
        <v>0</v>
      </c>
      <c r="AD37" s="408">
        <f t="shared" si="6"/>
        <v>0</v>
      </c>
      <c r="AE37" s="408">
        <f t="shared" si="7"/>
        <v>0</v>
      </c>
      <c r="AF37" s="408">
        <f t="shared" si="8"/>
        <v>0</v>
      </c>
      <c r="AG37" s="408">
        <f t="shared" si="9"/>
        <v>0</v>
      </c>
      <c r="AH37" s="408">
        <f t="shared" si="10"/>
        <v>0</v>
      </c>
      <c r="AI37" s="408">
        <f t="shared" si="11"/>
        <v>0</v>
      </c>
      <c r="AJ37" s="408">
        <f t="shared" si="12"/>
        <v>0</v>
      </c>
      <c r="AK37" s="408">
        <f t="shared" si="13"/>
        <v>0</v>
      </c>
      <c r="AL37" s="408">
        <f t="shared" si="14"/>
        <v>0</v>
      </c>
      <c r="AM37" s="408">
        <f t="shared" si="15"/>
        <v>0</v>
      </c>
      <c r="AN37" s="408">
        <f t="shared" si="16"/>
        <v>0</v>
      </c>
      <c r="AO37" s="408">
        <f t="shared" si="17"/>
        <v>0</v>
      </c>
    </row>
    <row r="38" spans="1:41" s="408" customFormat="1" ht="78.75" x14ac:dyDescent="0.2">
      <c r="A38" s="371">
        <v>13</v>
      </c>
      <c r="B38" s="375">
        <v>16.79</v>
      </c>
      <c r="C38" s="413" t="s">
        <v>77</v>
      </c>
      <c r="D38" s="375" t="s">
        <v>43</v>
      </c>
      <c r="E38" s="373">
        <f>'allied infrastructre finishig w'!H58</f>
        <v>60.449999999999996</v>
      </c>
      <c r="F38" s="373"/>
      <c r="G38" s="373"/>
      <c r="H38" s="373">
        <f>'WEIGH BRIDGE CABIN '!I46</f>
        <v>0.89999999999999991</v>
      </c>
      <c r="I38" s="373"/>
      <c r="J38" s="373">
        <f>'FUEL YARD'!I48</f>
        <v>63</v>
      </c>
      <c r="K38" s="373"/>
      <c r="L38" s="373"/>
      <c r="M38" s="373"/>
      <c r="N38" s="373"/>
      <c r="O38" s="373"/>
      <c r="P38" s="373"/>
      <c r="Q38" s="373">
        <f>'PARKING '!H25</f>
        <v>57.6</v>
      </c>
      <c r="R38" s="373"/>
      <c r="S38" s="373"/>
      <c r="T38" s="373"/>
      <c r="U38" s="374">
        <f t="shared" si="18"/>
        <v>181.95</v>
      </c>
      <c r="V38" s="374">
        <v>2803.65</v>
      </c>
      <c r="W38" s="374">
        <f t="shared" si="1"/>
        <v>510124.11749999999</v>
      </c>
      <c r="X38" s="375"/>
      <c r="Y38" s="376"/>
      <c r="Z38" s="408">
        <f t="shared" si="2"/>
        <v>169480.64249999999</v>
      </c>
      <c r="AA38" s="408">
        <f t="shared" si="3"/>
        <v>0</v>
      </c>
      <c r="AB38" s="408">
        <f t="shared" si="4"/>
        <v>0</v>
      </c>
      <c r="AC38" s="408">
        <f t="shared" si="5"/>
        <v>2523.2849999999999</v>
      </c>
      <c r="AD38" s="408">
        <f t="shared" si="6"/>
        <v>0</v>
      </c>
      <c r="AE38" s="408">
        <f t="shared" si="7"/>
        <v>176629.95</v>
      </c>
      <c r="AF38" s="408">
        <f t="shared" si="8"/>
        <v>0</v>
      </c>
      <c r="AG38" s="408">
        <f t="shared" si="9"/>
        <v>0</v>
      </c>
      <c r="AH38" s="408">
        <f t="shared" si="10"/>
        <v>0</v>
      </c>
      <c r="AI38" s="408">
        <f t="shared" si="11"/>
        <v>0</v>
      </c>
      <c r="AJ38" s="408">
        <f t="shared" si="12"/>
        <v>0</v>
      </c>
      <c r="AK38" s="408">
        <f t="shared" si="13"/>
        <v>0</v>
      </c>
      <c r="AL38" s="408">
        <f t="shared" si="14"/>
        <v>161490.24000000002</v>
      </c>
      <c r="AM38" s="408">
        <f t="shared" si="15"/>
        <v>0</v>
      </c>
      <c r="AN38" s="408">
        <f t="shared" si="16"/>
        <v>0</v>
      </c>
      <c r="AO38" s="408">
        <f t="shared" si="17"/>
        <v>0</v>
      </c>
    </row>
    <row r="39" spans="1:41" s="408" customFormat="1" ht="15.75" x14ac:dyDescent="0.2">
      <c r="A39" s="371"/>
      <c r="B39" s="375"/>
      <c r="C39" s="413"/>
      <c r="D39" s="375"/>
      <c r="E39" s="373"/>
      <c r="F39" s="373"/>
      <c r="G39" s="373"/>
      <c r="H39" s="373"/>
      <c r="I39" s="373"/>
      <c r="J39" s="373"/>
      <c r="K39" s="373"/>
      <c r="L39" s="373"/>
      <c r="M39" s="373"/>
      <c r="N39" s="373"/>
      <c r="O39" s="373"/>
      <c r="P39" s="373"/>
      <c r="Q39" s="373"/>
      <c r="R39" s="373"/>
      <c r="S39" s="373"/>
      <c r="T39" s="373"/>
      <c r="U39" s="374">
        <f t="shared" si="18"/>
        <v>0</v>
      </c>
      <c r="V39" s="374"/>
      <c r="W39" s="374">
        <f t="shared" si="1"/>
        <v>0</v>
      </c>
      <c r="X39" s="375"/>
      <c r="Y39" s="376"/>
      <c r="Z39" s="408">
        <f t="shared" si="2"/>
        <v>0</v>
      </c>
      <c r="AA39" s="408">
        <f t="shared" si="3"/>
        <v>0</v>
      </c>
      <c r="AB39" s="408">
        <f t="shared" si="4"/>
        <v>0</v>
      </c>
      <c r="AC39" s="408">
        <f t="shared" si="5"/>
        <v>0</v>
      </c>
      <c r="AD39" s="408">
        <f t="shared" si="6"/>
        <v>0</v>
      </c>
      <c r="AE39" s="408">
        <f t="shared" si="7"/>
        <v>0</v>
      </c>
      <c r="AF39" s="408">
        <f t="shared" si="8"/>
        <v>0</v>
      </c>
      <c r="AG39" s="408">
        <f t="shared" si="9"/>
        <v>0</v>
      </c>
      <c r="AH39" s="408">
        <f t="shared" si="10"/>
        <v>0</v>
      </c>
      <c r="AI39" s="408">
        <f t="shared" si="11"/>
        <v>0</v>
      </c>
      <c r="AJ39" s="408">
        <f t="shared" si="12"/>
        <v>0</v>
      </c>
      <c r="AK39" s="408">
        <f t="shared" si="13"/>
        <v>0</v>
      </c>
      <c r="AL39" s="408">
        <f t="shared" si="14"/>
        <v>0</v>
      </c>
      <c r="AM39" s="408">
        <f t="shared" si="15"/>
        <v>0</v>
      </c>
      <c r="AN39" s="408">
        <f t="shared" si="16"/>
        <v>0</v>
      </c>
      <c r="AO39" s="408">
        <f t="shared" si="17"/>
        <v>0</v>
      </c>
    </row>
    <row r="40" spans="1:41" s="408" customFormat="1" ht="15.75" x14ac:dyDescent="0.2">
      <c r="A40" s="371">
        <v>14</v>
      </c>
      <c r="B40" s="375" t="s">
        <v>78</v>
      </c>
      <c r="C40" s="413" t="s">
        <v>79</v>
      </c>
      <c r="D40" s="375" t="s">
        <v>73</v>
      </c>
      <c r="E40" s="373"/>
      <c r="F40" s="373"/>
      <c r="G40" s="373"/>
      <c r="H40" s="373"/>
      <c r="I40" s="373"/>
      <c r="J40" s="373">
        <f>'FUEL YARD'!I53</f>
        <v>420</v>
      </c>
      <c r="K40" s="373"/>
      <c r="L40" s="373">
        <f>'GAS TANK STORAGE'!H41</f>
        <v>420</v>
      </c>
      <c r="M40" s="373"/>
      <c r="N40" s="373"/>
      <c r="O40" s="373">
        <f>'HT YARD WITH CABLE TRENCH '!H35</f>
        <v>723</v>
      </c>
      <c r="P40" s="373"/>
      <c r="Q40" s="373"/>
      <c r="R40" s="373"/>
      <c r="S40" s="373"/>
      <c r="T40" s="373"/>
      <c r="U40" s="374">
        <f t="shared" si="18"/>
        <v>1563</v>
      </c>
      <c r="V40" s="374">
        <v>120</v>
      </c>
      <c r="W40" s="374">
        <f t="shared" si="1"/>
        <v>187560</v>
      </c>
      <c r="X40" s="375"/>
      <c r="Y40" s="376"/>
      <c r="Z40" s="408">
        <f t="shared" si="2"/>
        <v>0</v>
      </c>
      <c r="AA40" s="408">
        <f t="shared" si="3"/>
        <v>0</v>
      </c>
      <c r="AB40" s="408">
        <f t="shared" si="4"/>
        <v>0</v>
      </c>
      <c r="AC40" s="408">
        <f t="shared" si="5"/>
        <v>0</v>
      </c>
      <c r="AD40" s="408">
        <f t="shared" si="6"/>
        <v>0</v>
      </c>
      <c r="AE40" s="408">
        <f t="shared" si="7"/>
        <v>50400</v>
      </c>
      <c r="AF40" s="408">
        <f t="shared" si="8"/>
        <v>0</v>
      </c>
      <c r="AG40" s="408">
        <f t="shared" si="9"/>
        <v>50400</v>
      </c>
      <c r="AH40" s="408">
        <f t="shared" si="10"/>
        <v>0</v>
      </c>
      <c r="AI40" s="408">
        <f t="shared" si="11"/>
        <v>0</v>
      </c>
      <c r="AJ40" s="408">
        <f t="shared" si="12"/>
        <v>86760</v>
      </c>
      <c r="AK40" s="408">
        <f t="shared" si="13"/>
        <v>0</v>
      </c>
      <c r="AL40" s="408">
        <f t="shared" si="14"/>
        <v>0</v>
      </c>
      <c r="AM40" s="408">
        <f t="shared" si="15"/>
        <v>0</v>
      </c>
      <c r="AN40" s="408">
        <f t="shared" si="16"/>
        <v>0</v>
      </c>
      <c r="AO40" s="408">
        <f t="shared" si="17"/>
        <v>0</v>
      </c>
    </row>
    <row r="41" spans="1:41" s="408" customFormat="1" ht="15.75" x14ac:dyDescent="0.2">
      <c r="A41" s="371"/>
      <c r="B41" s="375"/>
      <c r="C41" s="413"/>
      <c r="D41" s="375"/>
      <c r="E41" s="373"/>
      <c r="F41" s="373"/>
      <c r="G41" s="373"/>
      <c r="H41" s="373"/>
      <c r="I41" s="373"/>
      <c r="J41" s="373"/>
      <c r="K41" s="373"/>
      <c r="L41" s="373"/>
      <c r="M41" s="373"/>
      <c r="N41" s="373"/>
      <c r="O41" s="373"/>
      <c r="P41" s="373"/>
      <c r="Q41" s="373"/>
      <c r="R41" s="373"/>
      <c r="S41" s="373"/>
      <c r="T41" s="373"/>
      <c r="U41" s="374">
        <f t="shared" si="18"/>
        <v>0</v>
      </c>
      <c r="V41" s="374"/>
      <c r="W41" s="374">
        <f t="shared" si="1"/>
        <v>0</v>
      </c>
      <c r="X41" s="375"/>
      <c r="Y41" s="376"/>
      <c r="Z41" s="408">
        <f t="shared" si="2"/>
        <v>0</v>
      </c>
      <c r="AA41" s="408">
        <f t="shared" si="3"/>
        <v>0</v>
      </c>
      <c r="AB41" s="408">
        <f t="shared" si="4"/>
        <v>0</v>
      </c>
      <c r="AC41" s="408">
        <f t="shared" si="5"/>
        <v>0</v>
      </c>
      <c r="AD41" s="408">
        <f t="shared" si="6"/>
        <v>0</v>
      </c>
      <c r="AE41" s="408">
        <f t="shared" si="7"/>
        <v>0</v>
      </c>
      <c r="AF41" s="408">
        <f t="shared" si="8"/>
        <v>0</v>
      </c>
      <c r="AG41" s="408">
        <f t="shared" si="9"/>
        <v>0</v>
      </c>
      <c r="AH41" s="408">
        <f t="shared" si="10"/>
        <v>0</v>
      </c>
      <c r="AI41" s="408">
        <f t="shared" si="11"/>
        <v>0</v>
      </c>
      <c r="AJ41" s="408">
        <f t="shared" si="12"/>
        <v>0</v>
      </c>
      <c r="AK41" s="408">
        <f t="shared" si="13"/>
        <v>0</v>
      </c>
      <c r="AL41" s="408">
        <f t="shared" si="14"/>
        <v>0</v>
      </c>
      <c r="AM41" s="408">
        <f t="shared" si="15"/>
        <v>0</v>
      </c>
      <c r="AN41" s="408">
        <f t="shared" si="16"/>
        <v>0</v>
      </c>
      <c r="AO41" s="408">
        <f t="shared" si="17"/>
        <v>0</v>
      </c>
    </row>
    <row r="42" spans="1:41" s="408" customFormat="1" ht="15.75" x14ac:dyDescent="0.2">
      <c r="A42" s="371">
        <v>15</v>
      </c>
      <c r="B42" s="375">
        <v>5.9</v>
      </c>
      <c r="C42" s="413" t="s">
        <v>80</v>
      </c>
      <c r="D42" s="375"/>
      <c r="E42" s="373"/>
      <c r="F42" s="373"/>
      <c r="G42" s="373"/>
      <c r="H42" s="373"/>
      <c r="I42" s="373"/>
      <c r="J42" s="373"/>
      <c r="K42" s="373"/>
      <c r="L42" s="373"/>
      <c r="M42" s="373"/>
      <c r="N42" s="373"/>
      <c r="O42" s="373"/>
      <c r="P42" s="373"/>
      <c r="Q42" s="373"/>
      <c r="R42" s="373"/>
      <c r="S42" s="373"/>
      <c r="T42" s="373"/>
      <c r="U42" s="374">
        <f t="shared" si="18"/>
        <v>0</v>
      </c>
      <c r="V42" s="374"/>
      <c r="W42" s="374">
        <f t="shared" si="1"/>
        <v>0</v>
      </c>
      <c r="X42" s="375"/>
      <c r="Y42" s="376"/>
      <c r="Z42" s="408">
        <f t="shared" si="2"/>
        <v>0</v>
      </c>
      <c r="AA42" s="408">
        <f t="shared" si="3"/>
        <v>0</v>
      </c>
      <c r="AB42" s="408">
        <f t="shared" si="4"/>
        <v>0</v>
      </c>
      <c r="AC42" s="408">
        <f t="shared" si="5"/>
        <v>0</v>
      </c>
      <c r="AD42" s="408">
        <f t="shared" si="6"/>
        <v>0</v>
      </c>
      <c r="AE42" s="408">
        <f t="shared" si="7"/>
        <v>0</v>
      </c>
      <c r="AF42" s="408">
        <f t="shared" si="8"/>
        <v>0</v>
      </c>
      <c r="AG42" s="408">
        <f t="shared" si="9"/>
        <v>0</v>
      </c>
      <c r="AH42" s="408">
        <f t="shared" si="10"/>
        <v>0</v>
      </c>
      <c r="AI42" s="408">
        <f t="shared" si="11"/>
        <v>0</v>
      </c>
      <c r="AJ42" s="408">
        <f t="shared" si="12"/>
        <v>0</v>
      </c>
      <c r="AK42" s="408">
        <f t="shared" si="13"/>
        <v>0</v>
      </c>
      <c r="AL42" s="408">
        <f t="shared" si="14"/>
        <v>0</v>
      </c>
      <c r="AM42" s="408">
        <f t="shared" si="15"/>
        <v>0</v>
      </c>
      <c r="AN42" s="408">
        <f t="shared" si="16"/>
        <v>0</v>
      </c>
      <c r="AO42" s="408">
        <f t="shared" si="17"/>
        <v>0</v>
      </c>
    </row>
    <row r="43" spans="1:41" s="408" customFormat="1" ht="31.5" x14ac:dyDescent="0.2">
      <c r="A43" s="371"/>
      <c r="B43" s="375" t="s">
        <v>81</v>
      </c>
      <c r="C43" s="413" t="s">
        <v>82</v>
      </c>
      <c r="D43" s="375" t="s">
        <v>73</v>
      </c>
      <c r="E43" s="373"/>
      <c r="F43" s="373">
        <f>'allied infrastructre finishig w'!H109</f>
        <v>238</v>
      </c>
      <c r="G43" s="373">
        <f>'WEIGH BRIDGE '!I35</f>
        <v>89.089999999999989</v>
      </c>
      <c r="H43" s="373">
        <f>'WEIGH BRIDGE CABIN '!I51</f>
        <v>9.5440000000000005</v>
      </c>
      <c r="I43" s="373">
        <f>'COOLING TOWER '!I58</f>
        <v>391.5</v>
      </c>
      <c r="J43" s="373">
        <f>'FUEL YARD'!I57</f>
        <v>533.22149999999988</v>
      </c>
      <c r="K43" s="373">
        <f>'PIPE RACK FOUNDATION '!H31</f>
        <v>605.00000000000011</v>
      </c>
      <c r="L43" s="373">
        <f>'GAS TANK STORAGE'!H44</f>
        <v>22.32</v>
      </c>
      <c r="M43" s="373">
        <f>'DG FOUNDATION '!H48</f>
        <v>35.1</v>
      </c>
      <c r="N43" s="373">
        <f>'CHIMNEY BOILER  FOUNDATION '!I58</f>
        <v>195.06020000000001</v>
      </c>
      <c r="O43" s="373">
        <f>'HT YARD WITH CABLE TRENCH '!H39</f>
        <v>54.400000000000006</v>
      </c>
      <c r="P43" s="373">
        <f>'ELECTRICAL LINE FOUNDATION '!H47</f>
        <v>41.28</v>
      </c>
      <c r="Q43" s="373">
        <f>'PARKING '!H55</f>
        <v>38.159999999999997</v>
      </c>
      <c r="R43" s="373">
        <f>'FIRE LINE '!H45</f>
        <v>286.68444444444447</v>
      </c>
      <c r="S43" s="373">
        <f>'PLOT BOUNDARY 103,104'!H26</f>
        <v>108</v>
      </c>
      <c r="T43" s="373">
        <f>'LIQUID STORAGE PLATFORM '!H42</f>
        <v>550.13599999999997</v>
      </c>
      <c r="U43" s="374">
        <f t="shared" si="18"/>
        <v>3197.4961444444448</v>
      </c>
      <c r="V43" s="374">
        <v>307.95</v>
      </c>
      <c r="W43" s="374">
        <f t="shared" si="1"/>
        <v>984668.93768166669</v>
      </c>
      <c r="X43" s="375"/>
      <c r="Y43" s="376"/>
      <c r="Z43" s="408">
        <f t="shared" si="2"/>
        <v>0</v>
      </c>
      <c r="AA43" s="408">
        <f t="shared" si="3"/>
        <v>73292.099999999991</v>
      </c>
      <c r="AB43" s="408">
        <f t="shared" si="4"/>
        <v>27435.265499999994</v>
      </c>
      <c r="AC43" s="408">
        <f t="shared" si="5"/>
        <v>2939.0747999999999</v>
      </c>
      <c r="AD43" s="408">
        <f t="shared" si="6"/>
        <v>120562.42499999999</v>
      </c>
      <c r="AE43" s="408">
        <f t="shared" si="7"/>
        <v>164205.56092499997</v>
      </c>
      <c r="AF43" s="408">
        <f t="shared" si="8"/>
        <v>186309.75000000003</v>
      </c>
      <c r="AG43" s="408">
        <f t="shared" si="9"/>
        <v>6873.4439999999995</v>
      </c>
      <c r="AH43" s="408">
        <f t="shared" si="10"/>
        <v>10809.045</v>
      </c>
      <c r="AI43" s="408">
        <f t="shared" si="11"/>
        <v>60068.788590000004</v>
      </c>
      <c r="AJ43" s="408">
        <f t="shared" si="12"/>
        <v>16752.48</v>
      </c>
      <c r="AK43" s="408">
        <f t="shared" si="13"/>
        <v>12712.175999999999</v>
      </c>
      <c r="AL43" s="408">
        <f t="shared" si="14"/>
        <v>11751.371999999999</v>
      </c>
      <c r="AM43" s="408">
        <f t="shared" si="15"/>
        <v>88284.474666666676</v>
      </c>
      <c r="AN43" s="408">
        <f t="shared" si="16"/>
        <v>33258.6</v>
      </c>
      <c r="AO43" s="408">
        <f t="shared" si="17"/>
        <v>169414.38119999997</v>
      </c>
    </row>
    <row r="44" spans="1:41" s="408" customFormat="1" ht="63" x14ac:dyDescent="0.2">
      <c r="A44" s="371"/>
      <c r="B44" s="375" t="s">
        <v>83</v>
      </c>
      <c r="C44" s="413" t="s">
        <v>84</v>
      </c>
      <c r="D44" s="375" t="s">
        <v>73</v>
      </c>
      <c r="E44" s="373"/>
      <c r="F44" s="373">
        <f>'allied infrastructre finishig w'!H114</f>
        <v>2998.7999999999997</v>
      </c>
      <c r="G44" s="373"/>
      <c r="H44" s="373">
        <f>'WEIGH BRIDGE CABIN '!I59</f>
        <v>4.6000000000000005</v>
      </c>
      <c r="I44" s="373">
        <f>'COOLING TOWER '!I70</f>
        <v>236.64000000000001</v>
      </c>
      <c r="J44" s="373"/>
      <c r="K44" s="373"/>
      <c r="L44" s="373"/>
      <c r="M44" s="373"/>
      <c r="N44" s="373"/>
      <c r="O44" s="373"/>
      <c r="P44" s="373"/>
      <c r="Q44" s="373">
        <f>'PARKING '!H62</f>
        <v>60</v>
      </c>
      <c r="R44" s="373"/>
      <c r="S44" s="373"/>
      <c r="T44" s="373"/>
      <c r="U44" s="374">
        <f t="shared" si="18"/>
        <v>3300.0399999999995</v>
      </c>
      <c r="V44" s="374">
        <v>669.55</v>
      </c>
      <c r="W44" s="374">
        <f t="shared" si="1"/>
        <v>2209541.7819999997</v>
      </c>
      <c r="X44" s="375"/>
      <c r="Y44" s="376"/>
      <c r="Z44" s="408">
        <f t="shared" si="2"/>
        <v>0</v>
      </c>
      <c r="AA44" s="408">
        <f t="shared" si="3"/>
        <v>2007846.5399999996</v>
      </c>
      <c r="AB44" s="408">
        <f t="shared" si="4"/>
        <v>0</v>
      </c>
      <c r="AC44" s="408">
        <f t="shared" si="5"/>
        <v>3079.9300000000003</v>
      </c>
      <c r="AD44" s="408">
        <f t="shared" si="6"/>
        <v>158442.31200000001</v>
      </c>
      <c r="AE44" s="408">
        <f t="shared" si="7"/>
        <v>0</v>
      </c>
      <c r="AF44" s="408">
        <f t="shared" si="8"/>
        <v>0</v>
      </c>
      <c r="AG44" s="408">
        <f t="shared" si="9"/>
        <v>0</v>
      </c>
      <c r="AH44" s="408">
        <f t="shared" si="10"/>
        <v>0</v>
      </c>
      <c r="AI44" s="408">
        <f t="shared" si="11"/>
        <v>0</v>
      </c>
      <c r="AJ44" s="408">
        <f t="shared" si="12"/>
        <v>0</v>
      </c>
      <c r="AK44" s="408">
        <f t="shared" si="13"/>
        <v>0</v>
      </c>
      <c r="AL44" s="408">
        <f t="shared" si="14"/>
        <v>40173</v>
      </c>
      <c r="AM44" s="408">
        <f t="shared" si="15"/>
        <v>0</v>
      </c>
      <c r="AN44" s="408">
        <f t="shared" si="16"/>
        <v>0</v>
      </c>
      <c r="AO44" s="408">
        <f t="shared" si="17"/>
        <v>0</v>
      </c>
    </row>
    <row r="45" spans="1:41" s="408" customFormat="1" ht="63" x14ac:dyDescent="0.2">
      <c r="A45" s="371"/>
      <c r="B45" s="375" t="s">
        <v>85</v>
      </c>
      <c r="C45" s="413" t="s">
        <v>86</v>
      </c>
      <c r="D45" s="375" t="s">
        <v>73</v>
      </c>
      <c r="E45" s="373"/>
      <c r="F45" s="373"/>
      <c r="G45" s="373"/>
      <c r="H45" s="373"/>
      <c r="I45" s="373">
        <f>'COOLING TOWER '!I78</f>
        <v>331.47120000000001</v>
      </c>
      <c r="J45" s="373"/>
      <c r="K45" s="373"/>
      <c r="L45" s="373"/>
      <c r="M45" s="373"/>
      <c r="N45" s="373"/>
      <c r="O45" s="373"/>
      <c r="P45" s="373"/>
      <c r="Q45" s="373"/>
      <c r="R45" s="373"/>
      <c r="S45" s="373"/>
      <c r="T45" s="373"/>
      <c r="U45" s="374">
        <f t="shared" si="18"/>
        <v>331.47120000000001</v>
      </c>
      <c r="V45" s="374">
        <v>766.55</v>
      </c>
      <c r="W45" s="374">
        <f t="shared" si="1"/>
        <v>254089.24836</v>
      </c>
      <c r="X45" s="375"/>
      <c r="Y45" s="376"/>
      <c r="Z45" s="408">
        <f t="shared" si="2"/>
        <v>0</v>
      </c>
      <c r="AA45" s="408">
        <f t="shared" si="3"/>
        <v>0</v>
      </c>
      <c r="AB45" s="408">
        <f t="shared" si="4"/>
        <v>0</v>
      </c>
      <c r="AC45" s="408">
        <f t="shared" si="5"/>
        <v>0</v>
      </c>
      <c r="AD45" s="408">
        <f t="shared" si="6"/>
        <v>254089.24836</v>
      </c>
      <c r="AE45" s="408">
        <f t="shared" si="7"/>
        <v>0</v>
      </c>
      <c r="AF45" s="408">
        <f t="shared" si="8"/>
        <v>0</v>
      </c>
      <c r="AG45" s="408">
        <f t="shared" si="9"/>
        <v>0</v>
      </c>
      <c r="AH45" s="408">
        <f t="shared" si="10"/>
        <v>0</v>
      </c>
      <c r="AI45" s="408">
        <f t="shared" si="11"/>
        <v>0</v>
      </c>
      <c r="AJ45" s="408">
        <f t="shared" si="12"/>
        <v>0</v>
      </c>
      <c r="AK45" s="408">
        <f t="shared" si="13"/>
        <v>0</v>
      </c>
      <c r="AL45" s="408">
        <f t="shared" si="14"/>
        <v>0</v>
      </c>
      <c r="AM45" s="408">
        <f t="shared" si="15"/>
        <v>0</v>
      </c>
      <c r="AN45" s="408">
        <f t="shared" si="16"/>
        <v>0</v>
      </c>
      <c r="AO45" s="408">
        <f t="shared" si="17"/>
        <v>0</v>
      </c>
    </row>
    <row r="46" spans="1:41" s="408" customFormat="1" ht="47.25" x14ac:dyDescent="0.2">
      <c r="A46" s="371"/>
      <c r="B46" s="375" t="s">
        <v>87</v>
      </c>
      <c r="C46" s="413" t="s">
        <v>88</v>
      </c>
      <c r="D46" s="375" t="s">
        <v>73</v>
      </c>
      <c r="E46" s="373"/>
      <c r="F46" s="373"/>
      <c r="G46" s="373"/>
      <c r="H46" s="373">
        <f>'WEIGH BRIDGE CABIN '!I65</f>
        <v>12</v>
      </c>
      <c r="I46" s="373">
        <f>'COOLING TOWER '!I86</f>
        <v>236.64000000000001</v>
      </c>
      <c r="J46" s="373"/>
      <c r="K46" s="373"/>
      <c r="L46" s="373"/>
      <c r="M46" s="373"/>
      <c r="N46" s="373"/>
      <c r="O46" s="373"/>
      <c r="P46" s="373"/>
      <c r="Q46" s="373"/>
      <c r="R46" s="373"/>
      <c r="S46" s="373"/>
      <c r="T46" s="373"/>
      <c r="U46" s="374">
        <f t="shared" si="18"/>
        <v>248.64000000000001</v>
      </c>
      <c r="V46" s="374">
        <v>608.35</v>
      </c>
      <c r="W46" s="374">
        <f t="shared" ref="W46:W77" si="19">U46*V46</f>
        <v>151260.144</v>
      </c>
      <c r="X46" s="375"/>
      <c r="Y46" s="376"/>
      <c r="Z46" s="408">
        <f t="shared" ref="Z46:Z77" si="20">V46*E46</f>
        <v>0</v>
      </c>
      <c r="AA46" s="408">
        <f t="shared" ref="AA46:AA77" si="21">V46*F46</f>
        <v>0</v>
      </c>
      <c r="AB46" s="408">
        <f t="shared" ref="AB46:AB77" si="22">V46*G46</f>
        <v>0</v>
      </c>
      <c r="AC46" s="408">
        <f t="shared" ref="AC46:AC77" si="23">V46*H46</f>
        <v>7300.2000000000007</v>
      </c>
      <c r="AD46" s="408">
        <f t="shared" ref="AD46:AD77" si="24">V46*I46</f>
        <v>143959.94400000002</v>
      </c>
      <c r="AE46" s="408">
        <f t="shared" ref="AE46:AE77" si="25">V46*J46</f>
        <v>0</v>
      </c>
      <c r="AF46" s="408">
        <f t="shared" ref="AF46:AF77" si="26">V46*K46</f>
        <v>0</v>
      </c>
      <c r="AG46" s="408">
        <f t="shared" ref="AG46:AG77" si="27">V46*L46</f>
        <v>0</v>
      </c>
      <c r="AH46" s="408">
        <f t="shared" ref="AH46:AH77" si="28">V46*M46</f>
        <v>0</v>
      </c>
      <c r="AI46" s="408">
        <f t="shared" ref="AI46:AI77" si="29">V46*N46</f>
        <v>0</v>
      </c>
      <c r="AJ46" s="408">
        <f t="shared" ref="AJ46:AJ77" si="30">V46*O46</f>
        <v>0</v>
      </c>
      <c r="AK46" s="408">
        <f t="shared" si="13"/>
        <v>0</v>
      </c>
      <c r="AL46" s="408">
        <f t="shared" ref="AL46:AL77" si="31">V46*Q46</f>
        <v>0</v>
      </c>
      <c r="AM46" s="408">
        <f t="shared" ref="AM46:AM77" si="32">V46*R46</f>
        <v>0</v>
      </c>
      <c r="AN46" s="408">
        <f t="shared" ref="AN46:AN77" si="33">V46*S46</f>
        <v>0</v>
      </c>
      <c r="AO46" s="408">
        <f t="shared" ref="AO46:AO77" si="34">V46*T46</f>
        <v>0</v>
      </c>
    </row>
    <row r="47" spans="1:41" s="408" customFormat="1" ht="47.25" x14ac:dyDescent="0.2">
      <c r="A47" s="371"/>
      <c r="B47" s="375" t="s">
        <v>89</v>
      </c>
      <c r="C47" s="413" t="s">
        <v>90</v>
      </c>
      <c r="D47" s="375" t="s">
        <v>73</v>
      </c>
      <c r="E47" s="373"/>
      <c r="F47" s="373"/>
      <c r="G47" s="373"/>
      <c r="H47" s="373">
        <f>'WEIGH BRIDGE CABIN '!I72</f>
        <v>10.672000000000002</v>
      </c>
      <c r="I47" s="373">
        <f>'COOLING TOWER '!I96</f>
        <v>531.3599999999999</v>
      </c>
      <c r="J47" s="373"/>
      <c r="K47" s="373"/>
      <c r="L47" s="373"/>
      <c r="M47" s="373"/>
      <c r="N47" s="373"/>
      <c r="O47" s="373"/>
      <c r="P47" s="373"/>
      <c r="Q47" s="373"/>
      <c r="R47" s="373"/>
      <c r="S47" s="373"/>
      <c r="T47" s="373"/>
      <c r="U47" s="374">
        <f t="shared" si="18"/>
        <v>542.03199999999993</v>
      </c>
      <c r="V47" s="374">
        <v>804.25</v>
      </c>
      <c r="W47" s="374">
        <f t="shared" si="19"/>
        <v>435929.23599999992</v>
      </c>
      <c r="X47" s="375"/>
      <c r="Y47" s="376"/>
      <c r="Z47" s="408">
        <f t="shared" si="20"/>
        <v>0</v>
      </c>
      <c r="AA47" s="408">
        <f t="shared" si="21"/>
        <v>0</v>
      </c>
      <c r="AB47" s="408">
        <f t="shared" si="22"/>
        <v>0</v>
      </c>
      <c r="AC47" s="408">
        <f t="shared" si="23"/>
        <v>8582.9560000000019</v>
      </c>
      <c r="AD47" s="408">
        <f t="shared" si="24"/>
        <v>427346.27999999991</v>
      </c>
      <c r="AE47" s="408">
        <f t="shared" si="25"/>
        <v>0</v>
      </c>
      <c r="AF47" s="408">
        <f t="shared" si="26"/>
        <v>0</v>
      </c>
      <c r="AG47" s="408">
        <f t="shared" si="27"/>
        <v>0</v>
      </c>
      <c r="AH47" s="408">
        <f t="shared" si="28"/>
        <v>0</v>
      </c>
      <c r="AI47" s="408">
        <f t="shared" si="29"/>
        <v>0</v>
      </c>
      <c r="AJ47" s="408">
        <f t="shared" si="30"/>
        <v>0</v>
      </c>
      <c r="AK47" s="408">
        <f t="shared" si="13"/>
        <v>0</v>
      </c>
      <c r="AL47" s="408">
        <f t="shared" si="31"/>
        <v>0</v>
      </c>
      <c r="AM47" s="408">
        <f t="shared" si="32"/>
        <v>0</v>
      </c>
      <c r="AN47" s="408">
        <f t="shared" si="33"/>
        <v>0</v>
      </c>
      <c r="AO47" s="408">
        <f t="shared" si="34"/>
        <v>0</v>
      </c>
    </row>
    <row r="48" spans="1:41" s="408" customFormat="1" ht="47.25" x14ac:dyDescent="0.2">
      <c r="A48" s="371"/>
      <c r="B48" s="375" t="s">
        <v>91</v>
      </c>
      <c r="C48" s="413" t="s">
        <v>92</v>
      </c>
      <c r="D48" s="375" t="s">
        <v>73</v>
      </c>
      <c r="E48" s="373"/>
      <c r="F48" s="373"/>
      <c r="G48" s="373"/>
      <c r="H48" s="373"/>
      <c r="I48" s="373"/>
      <c r="J48" s="373"/>
      <c r="K48" s="373"/>
      <c r="L48" s="373"/>
      <c r="M48" s="373"/>
      <c r="N48" s="373"/>
      <c r="O48" s="373"/>
      <c r="P48" s="373"/>
      <c r="Q48" s="373"/>
      <c r="R48" s="373"/>
      <c r="S48" s="373"/>
      <c r="T48" s="373"/>
      <c r="U48" s="374">
        <f t="shared" si="18"/>
        <v>0</v>
      </c>
      <c r="V48" s="374">
        <v>657.75</v>
      </c>
      <c r="W48" s="374">
        <f t="shared" si="19"/>
        <v>0</v>
      </c>
      <c r="X48" s="375"/>
      <c r="Y48" s="376"/>
      <c r="Z48" s="408">
        <f t="shared" si="20"/>
        <v>0</v>
      </c>
      <c r="AA48" s="408">
        <f t="shared" si="21"/>
        <v>0</v>
      </c>
      <c r="AB48" s="408">
        <f t="shared" si="22"/>
        <v>0</v>
      </c>
      <c r="AC48" s="408">
        <f t="shared" si="23"/>
        <v>0</v>
      </c>
      <c r="AD48" s="408">
        <f t="shared" si="24"/>
        <v>0</v>
      </c>
      <c r="AE48" s="408">
        <f t="shared" si="25"/>
        <v>0</v>
      </c>
      <c r="AF48" s="408">
        <f t="shared" si="26"/>
        <v>0</v>
      </c>
      <c r="AG48" s="408">
        <f t="shared" si="27"/>
        <v>0</v>
      </c>
      <c r="AH48" s="408">
        <f t="shared" si="28"/>
        <v>0</v>
      </c>
      <c r="AI48" s="408">
        <f t="shared" si="29"/>
        <v>0</v>
      </c>
      <c r="AJ48" s="408">
        <f t="shared" si="30"/>
        <v>0</v>
      </c>
      <c r="AK48" s="408">
        <f t="shared" si="13"/>
        <v>0</v>
      </c>
      <c r="AL48" s="408">
        <f t="shared" si="31"/>
        <v>0</v>
      </c>
      <c r="AM48" s="408">
        <f t="shared" si="32"/>
        <v>0</v>
      </c>
      <c r="AN48" s="408">
        <f t="shared" si="33"/>
        <v>0</v>
      </c>
      <c r="AO48" s="408">
        <f t="shared" si="34"/>
        <v>0</v>
      </c>
    </row>
    <row r="49" spans="1:41" s="408" customFormat="1" ht="15.75" x14ac:dyDescent="0.2">
      <c r="A49" s="371"/>
      <c r="B49" s="375"/>
      <c r="C49" s="413"/>
      <c r="D49" s="375"/>
      <c r="E49" s="373"/>
      <c r="F49" s="373"/>
      <c r="G49" s="373"/>
      <c r="H49" s="373"/>
      <c r="I49" s="373"/>
      <c r="J49" s="373"/>
      <c r="K49" s="373"/>
      <c r="L49" s="373"/>
      <c r="M49" s="373"/>
      <c r="N49" s="373"/>
      <c r="O49" s="373"/>
      <c r="P49" s="373"/>
      <c r="Q49" s="373"/>
      <c r="R49" s="373"/>
      <c r="S49" s="373"/>
      <c r="T49" s="373"/>
      <c r="U49" s="374">
        <f t="shared" si="18"/>
        <v>0</v>
      </c>
      <c r="V49" s="374"/>
      <c r="W49" s="374">
        <f t="shared" si="19"/>
        <v>0</v>
      </c>
      <c r="X49" s="375"/>
      <c r="Y49" s="376"/>
      <c r="Z49" s="408">
        <f t="shared" si="20"/>
        <v>0</v>
      </c>
      <c r="AA49" s="408">
        <f t="shared" si="21"/>
        <v>0</v>
      </c>
      <c r="AB49" s="408">
        <f t="shared" si="22"/>
        <v>0</v>
      </c>
      <c r="AC49" s="408">
        <f t="shared" si="23"/>
        <v>0</v>
      </c>
      <c r="AD49" s="408">
        <f t="shared" si="24"/>
        <v>0</v>
      </c>
      <c r="AE49" s="408">
        <f t="shared" si="25"/>
        <v>0</v>
      </c>
      <c r="AF49" s="408">
        <f t="shared" si="26"/>
        <v>0</v>
      </c>
      <c r="AG49" s="408">
        <f t="shared" si="27"/>
        <v>0</v>
      </c>
      <c r="AH49" s="408">
        <f t="shared" si="28"/>
        <v>0</v>
      </c>
      <c r="AI49" s="408">
        <f t="shared" si="29"/>
        <v>0</v>
      </c>
      <c r="AJ49" s="408">
        <f t="shared" si="30"/>
        <v>0</v>
      </c>
      <c r="AK49" s="408">
        <f t="shared" si="13"/>
        <v>0</v>
      </c>
      <c r="AL49" s="408">
        <f t="shared" si="31"/>
        <v>0</v>
      </c>
      <c r="AM49" s="408">
        <f t="shared" si="32"/>
        <v>0</v>
      </c>
      <c r="AN49" s="408">
        <f t="shared" si="33"/>
        <v>0</v>
      </c>
      <c r="AO49" s="408">
        <f t="shared" si="34"/>
        <v>0</v>
      </c>
    </row>
    <row r="50" spans="1:41" s="408" customFormat="1" ht="157.5" x14ac:dyDescent="0.2">
      <c r="A50" s="371">
        <v>16</v>
      </c>
      <c r="B50" s="419">
        <v>4.2</v>
      </c>
      <c r="C50" s="395" t="s">
        <v>521</v>
      </c>
      <c r="D50" s="420"/>
      <c r="E50" s="373"/>
      <c r="F50" s="373"/>
      <c r="G50" s="373"/>
      <c r="H50" s="373"/>
      <c r="I50" s="373"/>
      <c r="J50" s="373"/>
      <c r="K50" s="373"/>
      <c r="L50" s="373"/>
      <c r="M50" s="373"/>
      <c r="N50" s="373"/>
      <c r="O50" s="373"/>
      <c r="P50" s="373"/>
      <c r="Q50" s="373"/>
      <c r="R50" s="373"/>
      <c r="S50" s="373"/>
      <c r="T50" s="373"/>
      <c r="U50" s="374">
        <f t="shared" si="18"/>
        <v>0</v>
      </c>
      <c r="V50" s="374"/>
      <c r="W50" s="374">
        <f t="shared" si="19"/>
        <v>0</v>
      </c>
      <c r="X50" s="375"/>
      <c r="Y50" s="376"/>
      <c r="Z50" s="408">
        <f t="shared" si="20"/>
        <v>0</v>
      </c>
      <c r="AA50" s="408">
        <f t="shared" si="21"/>
        <v>0</v>
      </c>
      <c r="AB50" s="408">
        <f t="shared" si="22"/>
        <v>0</v>
      </c>
      <c r="AC50" s="408">
        <f t="shared" si="23"/>
        <v>0</v>
      </c>
      <c r="AD50" s="408">
        <f t="shared" si="24"/>
        <v>0</v>
      </c>
      <c r="AE50" s="408">
        <f t="shared" si="25"/>
        <v>0</v>
      </c>
      <c r="AF50" s="408">
        <f t="shared" si="26"/>
        <v>0</v>
      </c>
      <c r="AG50" s="408">
        <f t="shared" si="27"/>
        <v>0</v>
      </c>
      <c r="AH50" s="408">
        <f t="shared" si="28"/>
        <v>0</v>
      </c>
      <c r="AI50" s="408">
        <f t="shared" si="29"/>
        <v>0</v>
      </c>
      <c r="AJ50" s="408">
        <f t="shared" si="30"/>
        <v>0</v>
      </c>
      <c r="AK50" s="408">
        <f t="shared" si="13"/>
        <v>0</v>
      </c>
      <c r="AL50" s="408">
        <f t="shared" si="31"/>
        <v>0</v>
      </c>
      <c r="AM50" s="408">
        <f t="shared" si="32"/>
        <v>0</v>
      </c>
      <c r="AN50" s="408">
        <f t="shared" si="33"/>
        <v>0</v>
      </c>
      <c r="AO50" s="408">
        <f t="shared" si="34"/>
        <v>0</v>
      </c>
    </row>
    <row r="51" spans="1:41" s="408" customFormat="1" ht="15.75" x14ac:dyDescent="0.2">
      <c r="A51" s="371"/>
      <c r="B51" s="421" t="s">
        <v>94</v>
      </c>
      <c r="C51" s="395" t="s">
        <v>95</v>
      </c>
      <c r="D51" s="420"/>
      <c r="E51" s="373"/>
      <c r="F51" s="373"/>
      <c r="G51" s="373"/>
      <c r="H51" s="373"/>
      <c r="I51" s="373"/>
      <c r="J51" s="373"/>
      <c r="K51" s="373"/>
      <c r="L51" s="373"/>
      <c r="M51" s="373"/>
      <c r="N51" s="373"/>
      <c r="O51" s="373"/>
      <c r="P51" s="373"/>
      <c r="Q51" s="373"/>
      <c r="R51" s="373"/>
      <c r="S51" s="373"/>
      <c r="T51" s="373"/>
      <c r="U51" s="374">
        <f t="shared" si="18"/>
        <v>0</v>
      </c>
      <c r="V51" s="374"/>
      <c r="W51" s="374">
        <f t="shared" si="19"/>
        <v>0</v>
      </c>
      <c r="X51" s="375"/>
      <c r="Y51" s="376"/>
      <c r="Z51" s="408">
        <f t="shared" si="20"/>
        <v>0</v>
      </c>
      <c r="AA51" s="408">
        <f t="shared" si="21"/>
        <v>0</v>
      </c>
      <c r="AB51" s="408">
        <f t="shared" si="22"/>
        <v>0</v>
      </c>
      <c r="AC51" s="408">
        <f t="shared" si="23"/>
        <v>0</v>
      </c>
      <c r="AD51" s="408">
        <f t="shared" si="24"/>
        <v>0</v>
      </c>
      <c r="AE51" s="408">
        <f t="shared" si="25"/>
        <v>0</v>
      </c>
      <c r="AF51" s="408">
        <f t="shared" si="26"/>
        <v>0</v>
      </c>
      <c r="AG51" s="408">
        <f t="shared" si="27"/>
        <v>0</v>
      </c>
      <c r="AH51" s="408">
        <f t="shared" si="28"/>
        <v>0</v>
      </c>
      <c r="AI51" s="408">
        <f t="shared" si="29"/>
        <v>0</v>
      </c>
      <c r="AJ51" s="408">
        <f t="shared" si="30"/>
        <v>0</v>
      </c>
      <c r="AK51" s="408">
        <f t="shared" si="13"/>
        <v>0</v>
      </c>
      <c r="AL51" s="408">
        <f t="shared" si="31"/>
        <v>0</v>
      </c>
      <c r="AM51" s="408">
        <f t="shared" si="32"/>
        <v>0</v>
      </c>
      <c r="AN51" s="408">
        <f t="shared" si="33"/>
        <v>0</v>
      </c>
      <c r="AO51" s="408">
        <f t="shared" si="34"/>
        <v>0</v>
      </c>
    </row>
    <row r="52" spans="1:41" s="408" customFormat="1" ht="31.5" x14ac:dyDescent="0.2">
      <c r="A52" s="371"/>
      <c r="B52" s="421" t="s">
        <v>96</v>
      </c>
      <c r="C52" s="395" t="s">
        <v>97</v>
      </c>
      <c r="D52" s="420" t="s">
        <v>98</v>
      </c>
      <c r="E52" s="373"/>
      <c r="F52" s="373"/>
      <c r="G52" s="373"/>
      <c r="H52" s="373"/>
      <c r="I52" s="373"/>
      <c r="J52" s="373"/>
      <c r="K52" s="373"/>
      <c r="L52" s="373"/>
      <c r="M52" s="373"/>
      <c r="N52" s="373"/>
      <c r="O52" s="373"/>
      <c r="P52" s="373"/>
      <c r="Q52" s="373"/>
      <c r="R52" s="373"/>
      <c r="S52" s="373">
        <f>'PLOT BOUNDARY 103,104'!H31</f>
        <v>24</v>
      </c>
      <c r="T52" s="373"/>
      <c r="U52" s="374">
        <f t="shared" si="18"/>
        <v>24</v>
      </c>
      <c r="V52" s="374">
        <v>8387.15</v>
      </c>
      <c r="W52" s="374">
        <f t="shared" si="19"/>
        <v>201291.59999999998</v>
      </c>
      <c r="X52" s="375"/>
      <c r="Y52" s="376"/>
      <c r="Z52" s="408">
        <f t="shared" si="20"/>
        <v>0</v>
      </c>
      <c r="AA52" s="408">
        <f t="shared" si="21"/>
        <v>0</v>
      </c>
      <c r="AB52" s="408">
        <f t="shared" si="22"/>
        <v>0</v>
      </c>
      <c r="AC52" s="408">
        <f t="shared" si="23"/>
        <v>0</v>
      </c>
      <c r="AD52" s="408">
        <f t="shared" si="24"/>
        <v>0</v>
      </c>
      <c r="AE52" s="408">
        <f t="shared" si="25"/>
        <v>0</v>
      </c>
      <c r="AF52" s="408">
        <f t="shared" si="26"/>
        <v>0</v>
      </c>
      <c r="AG52" s="408">
        <f t="shared" si="27"/>
        <v>0</v>
      </c>
      <c r="AH52" s="408">
        <f t="shared" si="28"/>
        <v>0</v>
      </c>
      <c r="AI52" s="408">
        <f t="shared" si="29"/>
        <v>0</v>
      </c>
      <c r="AJ52" s="408">
        <f t="shared" si="30"/>
        <v>0</v>
      </c>
      <c r="AK52" s="408">
        <f t="shared" si="13"/>
        <v>0</v>
      </c>
      <c r="AL52" s="408">
        <f t="shared" si="31"/>
        <v>0</v>
      </c>
      <c r="AM52" s="408">
        <f t="shared" si="32"/>
        <v>0</v>
      </c>
      <c r="AN52" s="408">
        <f t="shared" si="33"/>
        <v>201291.59999999998</v>
      </c>
      <c r="AO52" s="408">
        <f t="shared" si="34"/>
        <v>0</v>
      </c>
    </row>
    <row r="53" spans="1:41" s="408" customFormat="1" ht="15.75" x14ac:dyDescent="0.2">
      <c r="A53" s="371"/>
      <c r="B53" s="422"/>
      <c r="C53" s="423"/>
      <c r="D53" s="424"/>
      <c r="E53" s="373"/>
      <c r="F53" s="373"/>
      <c r="G53" s="373"/>
      <c r="H53" s="373"/>
      <c r="I53" s="373"/>
      <c r="J53" s="373"/>
      <c r="K53" s="373"/>
      <c r="L53" s="373"/>
      <c r="M53" s="373"/>
      <c r="N53" s="373"/>
      <c r="O53" s="373"/>
      <c r="P53" s="373"/>
      <c r="Q53" s="373"/>
      <c r="R53" s="373"/>
      <c r="S53" s="373"/>
      <c r="T53" s="373"/>
      <c r="U53" s="374">
        <f t="shared" si="18"/>
        <v>0</v>
      </c>
      <c r="V53" s="374"/>
      <c r="W53" s="374">
        <f t="shared" si="19"/>
        <v>0</v>
      </c>
      <c r="X53" s="375"/>
      <c r="Y53" s="376"/>
      <c r="Z53" s="408">
        <f t="shared" si="20"/>
        <v>0</v>
      </c>
      <c r="AA53" s="408">
        <f t="shared" si="21"/>
        <v>0</v>
      </c>
      <c r="AB53" s="408">
        <f t="shared" si="22"/>
        <v>0</v>
      </c>
      <c r="AC53" s="408">
        <f t="shared" si="23"/>
        <v>0</v>
      </c>
      <c r="AD53" s="408">
        <f t="shared" si="24"/>
        <v>0</v>
      </c>
      <c r="AE53" s="408">
        <f t="shared" si="25"/>
        <v>0</v>
      </c>
      <c r="AF53" s="408">
        <f t="shared" si="26"/>
        <v>0</v>
      </c>
      <c r="AG53" s="408">
        <f t="shared" si="27"/>
        <v>0</v>
      </c>
      <c r="AH53" s="408">
        <f t="shared" si="28"/>
        <v>0</v>
      </c>
      <c r="AI53" s="408">
        <f t="shared" si="29"/>
        <v>0</v>
      </c>
      <c r="AJ53" s="408">
        <f t="shared" si="30"/>
        <v>0</v>
      </c>
      <c r="AK53" s="408">
        <f t="shared" si="13"/>
        <v>0</v>
      </c>
      <c r="AL53" s="408">
        <f t="shared" si="31"/>
        <v>0</v>
      </c>
      <c r="AM53" s="408">
        <f t="shared" si="32"/>
        <v>0</v>
      </c>
      <c r="AN53" s="408">
        <f t="shared" si="33"/>
        <v>0</v>
      </c>
      <c r="AO53" s="408">
        <f t="shared" si="34"/>
        <v>0</v>
      </c>
    </row>
    <row r="54" spans="1:41" s="408" customFormat="1" ht="110.25" x14ac:dyDescent="0.2">
      <c r="A54" s="371">
        <v>17</v>
      </c>
      <c r="B54" s="375">
        <v>5.33</v>
      </c>
      <c r="C54" s="413" t="s">
        <v>99</v>
      </c>
      <c r="D54" s="375"/>
      <c r="E54" s="373"/>
      <c r="F54" s="373"/>
      <c r="G54" s="373"/>
      <c r="H54" s="373"/>
      <c r="I54" s="373"/>
      <c r="J54" s="373"/>
      <c r="K54" s="373"/>
      <c r="L54" s="373"/>
      <c r="M54" s="373"/>
      <c r="N54" s="373"/>
      <c r="O54" s="373"/>
      <c r="P54" s="373"/>
      <c r="Q54" s="373"/>
      <c r="R54" s="373"/>
      <c r="S54" s="373"/>
      <c r="T54" s="373"/>
      <c r="U54" s="374">
        <f t="shared" si="18"/>
        <v>0</v>
      </c>
      <c r="V54" s="374"/>
      <c r="W54" s="374">
        <f t="shared" si="19"/>
        <v>0</v>
      </c>
      <c r="X54" s="375"/>
      <c r="Y54" s="376"/>
      <c r="Z54" s="408">
        <f t="shared" si="20"/>
        <v>0</v>
      </c>
      <c r="AA54" s="408">
        <f t="shared" si="21"/>
        <v>0</v>
      </c>
      <c r="AB54" s="408">
        <f t="shared" si="22"/>
        <v>0</v>
      </c>
      <c r="AC54" s="408">
        <f t="shared" si="23"/>
        <v>0</v>
      </c>
      <c r="AD54" s="408">
        <f t="shared" si="24"/>
        <v>0</v>
      </c>
      <c r="AE54" s="408">
        <f t="shared" si="25"/>
        <v>0</v>
      </c>
      <c r="AF54" s="408">
        <f t="shared" si="26"/>
        <v>0</v>
      </c>
      <c r="AG54" s="408">
        <f t="shared" si="27"/>
        <v>0</v>
      </c>
      <c r="AH54" s="408">
        <f t="shared" si="28"/>
        <v>0</v>
      </c>
      <c r="AI54" s="408">
        <f t="shared" si="29"/>
        <v>0</v>
      </c>
      <c r="AJ54" s="408">
        <f t="shared" si="30"/>
        <v>0</v>
      </c>
      <c r="AK54" s="408">
        <f t="shared" si="13"/>
        <v>0</v>
      </c>
      <c r="AL54" s="408">
        <f t="shared" si="31"/>
        <v>0</v>
      </c>
      <c r="AM54" s="408">
        <f t="shared" si="32"/>
        <v>0</v>
      </c>
      <c r="AN54" s="408">
        <f t="shared" si="33"/>
        <v>0</v>
      </c>
      <c r="AO54" s="408">
        <f t="shared" si="34"/>
        <v>0</v>
      </c>
    </row>
    <row r="55" spans="1:41" s="408" customFormat="1" ht="15.75" x14ac:dyDescent="0.2">
      <c r="A55" s="371"/>
      <c r="B55" s="375" t="s">
        <v>100</v>
      </c>
      <c r="C55" s="413" t="s">
        <v>101</v>
      </c>
      <c r="D55" s="375"/>
      <c r="E55" s="373"/>
      <c r="F55" s="373"/>
      <c r="G55" s="373"/>
      <c r="H55" s="373"/>
      <c r="I55" s="373"/>
      <c r="J55" s="373"/>
      <c r="K55" s="373"/>
      <c r="L55" s="373"/>
      <c r="M55" s="373"/>
      <c r="N55" s="373"/>
      <c r="O55" s="373"/>
      <c r="P55" s="373"/>
      <c r="Q55" s="373"/>
      <c r="R55" s="373"/>
      <c r="S55" s="373"/>
      <c r="T55" s="373"/>
      <c r="U55" s="374">
        <f t="shared" si="18"/>
        <v>0</v>
      </c>
      <c r="V55" s="374"/>
      <c r="W55" s="374">
        <f t="shared" si="19"/>
        <v>0</v>
      </c>
      <c r="X55" s="375"/>
      <c r="Y55" s="376"/>
      <c r="Z55" s="408">
        <f t="shared" si="20"/>
        <v>0</v>
      </c>
      <c r="AA55" s="408">
        <f t="shared" si="21"/>
        <v>0</v>
      </c>
      <c r="AB55" s="408">
        <f t="shared" si="22"/>
        <v>0</v>
      </c>
      <c r="AC55" s="408">
        <f t="shared" si="23"/>
        <v>0</v>
      </c>
      <c r="AD55" s="408">
        <f t="shared" si="24"/>
        <v>0</v>
      </c>
      <c r="AE55" s="408">
        <f t="shared" si="25"/>
        <v>0</v>
      </c>
      <c r="AF55" s="408">
        <f t="shared" si="26"/>
        <v>0</v>
      </c>
      <c r="AG55" s="408">
        <f t="shared" si="27"/>
        <v>0</v>
      </c>
      <c r="AH55" s="408">
        <f t="shared" si="28"/>
        <v>0</v>
      </c>
      <c r="AI55" s="408">
        <f t="shared" si="29"/>
        <v>0</v>
      </c>
      <c r="AJ55" s="408">
        <f t="shared" si="30"/>
        <v>0</v>
      </c>
      <c r="AK55" s="408">
        <f t="shared" si="13"/>
        <v>0</v>
      </c>
      <c r="AL55" s="408">
        <f t="shared" si="31"/>
        <v>0</v>
      </c>
      <c r="AM55" s="408">
        <f t="shared" si="32"/>
        <v>0</v>
      </c>
      <c r="AN55" s="408">
        <f t="shared" si="33"/>
        <v>0</v>
      </c>
      <c r="AO55" s="408">
        <f t="shared" si="34"/>
        <v>0</v>
      </c>
    </row>
    <row r="56" spans="1:41" s="408" customFormat="1" ht="15.75" x14ac:dyDescent="0.2">
      <c r="A56" s="371"/>
      <c r="B56" s="375" t="s">
        <v>102</v>
      </c>
      <c r="C56" s="413" t="s">
        <v>103</v>
      </c>
      <c r="D56" s="375" t="s">
        <v>43</v>
      </c>
      <c r="E56" s="373"/>
      <c r="F56" s="373">
        <f>'allied infrastructre finishig w'!H121</f>
        <v>820.08</v>
      </c>
      <c r="G56" s="373">
        <f>'WEIGH BRIDGE '!I43</f>
        <v>28.919999999999995</v>
      </c>
      <c r="H56" s="373">
        <f>'WEIGH BRIDGE CABIN '!I77</f>
        <v>2.3749800000000003</v>
      </c>
      <c r="I56" s="373">
        <f>'COOLING TOWER '!I107</f>
        <v>104.346</v>
      </c>
      <c r="J56" s="373">
        <f>'FUEL YARD'!I79</f>
        <v>96.149587499999981</v>
      </c>
      <c r="K56" s="373">
        <f>'PIPE RACK FOUNDATION '!H39</f>
        <v>182.25</v>
      </c>
      <c r="L56" s="373">
        <f>'GAS TANK STORAGE'!H49</f>
        <v>3.9468000000000001</v>
      </c>
      <c r="M56" s="373">
        <f>'DG FOUNDATION '!H53</f>
        <v>215.125</v>
      </c>
      <c r="N56" s="373">
        <f>'CHIMNEY BOILER  FOUNDATION '!I95</f>
        <v>94.91040000000001</v>
      </c>
      <c r="O56" s="373">
        <f>'HT YARD WITH CABLE TRENCH '!H44</f>
        <v>100.67999999999998</v>
      </c>
      <c r="P56" s="373">
        <f>'ELECTRICAL LINE FOUNDATION '!H53</f>
        <v>39.849000000000004</v>
      </c>
      <c r="Q56" s="373">
        <v>190.1</v>
      </c>
      <c r="R56" s="373">
        <f>'FIRE LINE '!H65</f>
        <v>19.546666666666674</v>
      </c>
      <c r="S56" s="373">
        <f>'PLOT BOUNDARY 103,104'!H22</f>
        <v>52.2</v>
      </c>
      <c r="T56" s="373">
        <f>'LIQUID STORAGE PLATFORM '!H51</f>
        <v>478.72439999999995</v>
      </c>
      <c r="U56" s="374">
        <f t="shared" si="18"/>
        <v>2429.2028341666664</v>
      </c>
      <c r="V56" s="374">
        <v>7997.3</v>
      </c>
      <c r="W56" s="374">
        <f t="shared" si="19"/>
        <v>19427063.825681083</v>
      </c>
      <c r="X56" s="375"/>
      <c r="Y56" s="376"/>
      <c r="Z56" s="408">
        <f t="shared" si="20"/>
        <v>0</v>
      </c>
      <c r="AA56" s="408">
        <f t="shared" si="21"/>
        <v>6558425.7840000009</v>
      </c>
      <c r="AB56" s="408">
        <f t="shared" si="22"/>
        <v>231281.91599999997</v>
      </c>
      <c r="AC56" s="408">
        <f t="shared" si="23"/>
        <v>18993.427554000002</v>
      </c>
      <c r="AD56" s="408">
        <f t="shared" si="24"/>
        <v>834486.26580000005</v>
      </c>
      <c r="AE56" s="408">
        <f t="shared" si="25"/>
        <v>768937.0961137499</v>
      </c>
      <c r="AF56" s="408">
        <f t="shared" si="26"/>
        <v>1457507.925</v>
      </c>
      <c r="AG56" s="408">
        <f t="shared" si="27"/>
        <v>31563.743640000001</v>
      </c>
      <c r="AH56" s="408">
        <f t="shared" si="28"/>
        <v>1720419.1625000001</v>
      </c>
      <c r="AI56" s="408">
        <f t="shared" si="29"/>
        <v>759026.94192000013</v>
      </c>
      <c r="AJ56" s="408">
        <f t="shared" si="30"/>
        <v>805168.16399999987</v>
      </c>
      <c r="AK56" s="408">
        <f t="shared" si="13"/>
        <v>318684.40770000004</v>
      </c>
      <c r="AL56" s="408">
        <f t="shared" si="31"/>
        <v>1520286.73</v>
      </c>
      <c r="AM56" s="408">
        <f t="shared" si="32"/>
        <v>156320.55733333339</v>
      </c>
      <c r="AN56" s="408">
        <f t="shared" si="33"/>
        <v>417459.06000000006</v>
      </c>
      <c r="AO56" s="408">
        <f t="shared" si="34"/>
        <v>3828502.6441199998</v>
      </c>
    </row>
    <row r="57" spans="1:41" s="408" customFormat="1" ht="15.75" x14ac:dyDescent="0.2">
      <c r="A57" s="371"/>
      <c r="B57" s="375" t="s">
        <v>104</v>
      </c>
      <c r="C57" s="413" t="s">
        <v>105</v>
      </c>
      <c r="D57" s="375" t="s">
        <v>43</v>
      </c>
      <c r="E57" s="373"/>
      <c r="F57" s="373"/>
      <c r="G57" s="373"/>
      <c r="H57" s="373"/>
      <c r="I57" s="373"/>
      <c r="J57" s="373"/>
      <c r="K57" s="373"/>
      <c r="L57" s="373"/>
      <c r="M57" s="373"/>
      <c r="N57" s="373"/>
      <c r="O57" s="373"/>
      <c r="P57" s="373"/>
      <c r="Q57" s="373"/>
      <c r="R57" s="373"/>
      <c r="S57" s="373"/>
      <c r="T57" s="373"/>
      <c r="U57" s="374">
        <f t="shared" si="18"/>
        <v>0</v>
      </c>
      <c r="V57" s="374">
        <v>8599.35</v>
      </c>
      <c r="W57" s="374">
        <f t="shared" si="19"/>
        <v>0</v>
      </c>
      <c r="X57" s="375"/>
      <c r="Y57" s="376"/>
      <c r="Z57" s="408">
        <f t="shared" si="20"/>
        <v>0</v>
      </c>
      <c r="AA57" s="408">
        <f t="shared" si="21"/>
        <v>0</v>
      </c>
      <c r="AB57" s="408">
        <f t="shared" si="22"/>
        <v>0</v>
      </c>
      <c r="AC57" s="408">
        <f t="shared" si="23"/>
        <v>0</v>
      </c>
      <c r="AD57" s="408">
        <f t="shared" si="24"/>
        <v>0</v>
      </c>
      <c r="AE57" s="408">
        <f t="shared" si="25"/>
        <v>0</v>
      </c>
      <c r="AF57" s="408">
        <f t="shared" si="26"/>
        <v>0</v>
      </c>
      <c r="AG57" s="408">
        <f t="shared" si="27"/>
        <v>0</v>
      </c>
      <c r="AH57" s="408">
        <f t="shared" si="28"/>
        <v>0</v>
      </c>
      <c r="AI57" s="408">
        <f t="shared" si="29"/>
        <v>0</v>
      </c>
      <c r="AJ57" s="408">
        <f t="shared" si="30"/>
        <v>0</v>
      </c>
      <c r="AK57" s="408">
        <f t="shared" si="13"/>
        <v>0</v>
      </c>
      <c r="AL57" s="408">
        <f t="shared" si="31"/>
        <v>0</v>
      </c>
      <c r="AM57" s="408">
        <f t="shared" si="32"/>
        <v>0</v>
      </c>
      <c r="AN57" s="408">
        <f t="shared" si="33"/>
        <v>0</v>
      </c>
      <c r="AO57" s="408">
        <f t="shared" si="34"/>
        <v>0</v>
      </c>
    </row>
    <row r="58" spans="1:41" s="408" customFormat="1" ht="15.75" x14ac:dyDescent="0.2">
      <c r="A58" s="371"/>
      <c r="B58" s="375" t="s">
        <v>106</v>
      </c>
      <c r="C58" s="413" t="s">
        <v>107</v>
      </c>
      <c r="D58" s="375"/>
      <c r="E58" s="373"/>
      <c r="F58" s="373"/>
      <c r="G58" s="373"/>
      <c r="H58" s="373"/>
      <c r="I58" s="373"/>
      <c r="J58" s="373"/>
      <c r="K58" s="373"/>
      <c r="L58" s="373"/>
      <c r="M58" s="373"/>
      <c r="N58" s="373"/>
      <c r="O58" s="373"/>
      <c r="P58" s="373"/>
      <c r="Q58" s="373"/>
      <c r="R58" s="373"/>
      <c r="S58" s="373"/>
      <c r="T58" s="373"/>
      <c r="U58" s="374">
        <f t="shared" si="18"/>
        <v>0</v>
      </c>
      <c r="V58" s="374"/>
      <c r="W58" s="374">
        <f t="shared" si="19"/>
        <v>0</v>
      </c>
      <c r="X58" s="375"/>
      <c r="Y58" s="376"/>
      <c r="Z58" s="408">
        <f t="shared" si="20"/>
        <v>0</v>
      </c>
      <c r="AA58" s="408">
        <f t="shared" si="21"/>
        <v>0</v>
      </c>
      <c r="AB58" s="408">
        <f t="shared" si="22"/>
        <v>0</v>
      </c>
      <c r="AC58" s="408">
        <f t="shared" si="23"/>
        <v>0</v>
      </c>
      <c r="AD58" s="408">
        <f t="shared" si="24"/>
        <v>0</v>
      </c>
      <c r="AE58" s="408">
        <f t="shared" si="25"/>
        <v>0</v>
      </c>
      <c r="AF58" s="408">
        <f t="shared" si="26"/>
        <v>0</v>
      </c>
      <c r="AG58" s="408">
        <f t="shared" si="27"/>
        <v>0</v>
      </c>
      <c r="AH58" s="408">
        <f t="shared" si="28"/>
        <v>0</v>
      </c>
      <c r="AI58" s="408">
        <f t="shared" si="29"/>
        <v>0</v>
      </c>
      <c r="AJ58" s="408">
        <f t="shared" si="30"/>
        <v>0</v>
      </c>
      <c r="AK58" s="408">
        <f t="shared" si="13"/>
        <v>0</v>
      </c>
      <c r="AL58" s="408">
        <f t="shared" si="31"/>
        <v>0</v>
      </c>
      <c r="AM58" s="408">
        <f t="shared" si="32"/>
        <v>0</v>
      </c>
      <c r="AN58" s="408">
        <f t="shared" si="33"/>
        <v>0</v>
      </c>
      <c r="AO58" s="408">
        <f t="shared" si="34"/>
        <v>0</v>
      </c>
    </row>
    <row r="59" spans="1:41" s="408" customFormat="1" ht="15.75" x14ac:dyDescent="0.2">
      <c r="A59" s="371"/>
      <c r="B59" s="375" t="s">
        <v>108</v>
      </c>
      <c r="C59" s="413" t="s">
        <v>103</v>
      </c>
      <c r="D59" s="375" t="s">
        <v>43</v>
      </c>
      <c r="E59" s="373">
        <f>'allied infrastructre finishig w'!H66</f>
        <v>80.600000000000009</v>
      </c>
      <c r="F59" s="373"/>
      <c r="G59" s="373"/>
      <c r="H59" s="373">
        <f>'WEIGH BRIDGE CABIN '!I90</f>
        <v>2.50569</v>
      </c>
      <c r="I59" s="373">
        <f>'COOLING TOWER '!I127</f>
        <v>219.26903999999999</v>
      </c>
      <c r="J59" s="373"/>
      <c r="K59" s="373"/>
      <c r="L59" s="373"/>
      <c r="M59" s="373"/>
      <c r="N59" s="373"/>
      <c r="O59" s="373"/>
      <c r="P59" s="373"/>
      <c r="Q59" s="373"/>
      <c r="R59" s="373"/>
      <c r="S59" s="373"/>
      <c r="T59" s="373"/>
      <c r="U59" s="374">
        <f t="shared" si="18"/>
        <v>302.37473</v>
      </c>
      <c r="V59" s="374">
        <v>10080.15</v>
      </c>
      <c r="W59" s="374">
        <f t="shared" si="19"/>
        <v>3047982.6346094999</v>
      </c>
      <c r="X59" s="375"/>
      <c r="Y59" s="376"/>
      <c r="Z59" s="408">
        <f t="shared" si="20"/>
        <v>812460.09000000008</v>
      </c>
      <c r="AA59" s="408">
        <f t="shared" si="21"/>
        <v>0</v>
      </c>
      <c r="AB59" s="408">
        <f t="shared" si="22"/>
        <v>0</v>
      </c>
      <c r="AC59" s="408">
        <f t="shared" si="23"/>
        <v>25257.7310535</v>
      </c>
      <c r="AD59" s="408">
        <f t="shared" si="24"/>
        <v>2210264.8135559997</v>
      </c>
      <c r="AE59" s="408">
        <f t="shared" si="25"/>
        <v>0</v>
      </c>
      <c r="AF59" s="408">
        <f t="shared" si="26"/>
        <v>0</v>
      </c>
      <c r="AG59" s="408">
        <f t="shared" si="27"/>
        <v>0</v>
      </c>
      <c r="AH59" s="408">
        <f t="shared" si="28"/>
        <v>0</v>
      </c>
      <c r="AI59" s="408">
        <f t="shared" si="29"/>
        <v>0</v>
      </c>
      <c r="AJ59" s="408">
        <f t="shared" si="30"/>
        <v>0</v>
      </c>
      <c r="AK59" s="408">
        <f t="shared" si="13"/>
        <v>0</v>
      </c>
      <c r="AL59" s="408">
        <f t="shared" si="31"/>
        <v>0</v>
      </c>
      <c r="AM59" s="408">
        <f t="shared" si="32"/>
        <v>0</v>
      </c>
      <c r="AN59" s="408">
        <f t="shared" si="33"/>
        <v>0</v>
      </c>
      <c r="AO59" s="408">
        <f t="shared" si="34"/>
        <v>0</v>
      </c>
    </row>
    <row r="60" spans="1:41" s="408" customFormat="1" ht="15.75" x14ac:dyDescent="0.2">
      <c r="A60" s="371"/>
      <c r="B60" s="375" t="s">
        <v>109</v>
      </c>
      <c r="C60" s="413" t="s">
        <v>105</v>
      </c>
      <c r="D60" s="375" t="s">
        <v>43</v>
      </c>
      <c r="E60" s="373"/>
      <c r="F60" s="373"/>
      <c r="G60" s="373"/>
      <c r="H60" s="373"/>
      <c r="I60" s="373"/>
      <c r="J60" s="373"/>
      <c r="K60" s="373"/>
      <c r="L60" s="373"/>
      <c r="M60" s="373"/>
      <c r="N60" s="373"/>
      <c r="O60" s="373"/>
      <c r="P60" s="373"/>
      <c r="Q60" s="373"/>
      <c r="R60" s="373"/>
      <c r="S60" s="373"/>
      <c r="T60" s="373"/>
      <c r="U60" s="374">
        <f t="shared" si="18"/>
        <v>0</v>
      </c>
      <c r="V60" s="374">
        <v>10221.700000000001</v>
      </c>
      <c r="W60" s="374">
        <f t="shared" si="19"/>
        <v>0</v>
      </c>
      <c r="X60" s="375"/>
      <c r="Y60" s="376"/>
      <c r="Z60" s="408">
        <f t="shared" si="20"/>
        <v>0</v>
      </c>
      <c r="AA60" s="408">
        <f t="shared" si="21"/>
        <v>0</v>
      </c>
      <c r="AB60" s="408">
        <f t="shared" si="22"/>
        <v>0</v>
      </c>
      <c r="AC60" s="408">
        <f t="shared" si="23"/>
        <v>0</v>
      </c>
      <c r="AD60" s="408">
        <f t="shared" si="24"/>
        <v>0</v>
      </c>
      <c r="AE60" s="408">
        <f t="shared" si="25"/>
        <v>0</v>
      </c>
      <c r="AF60" s="408">
        <f t="shared" si="26"/>
        <v>0</v>
      </c>
      <c r="AG60" s="408">
        <f t="shared" si="27"/>
        <v>0</v>
      </c>
      <c r="AH60" s="408">
        <f t="shared" si="28"/>
        <v>0</v>
      </c>
      <c r="AI60" s="408">
        <f t="shared" si="29"/>
        <v>0</v>
      </c>
      <c r="AJ60" s="408">
        <f t="shared" si="30"/>
        <v>0</v>
      </c>
      <c r="AK60" s="408">
        <f t="shared" si="13"/>
        <v>0</v>
      </c>
      <c r="AL60" s="408">
        <f t="shared" si="31"/>
        <v>0</v>
      </c>
      <c r="AM60" s="408">
        <f t="shared" si="32"/>
        <v>0</v>
      </c>
      <c r="AN60" s="408">
        <f t="shared" si="33"/>
        <v>0</v>
      </c>
      <c r="AO60" s="408">
        <f t="shared" si="34"/>
        <v>0</v>
      </c>
    </row>
    <row r="61" spans="1:41" s="408" customFormat="1" ht="15.75" x14ac:dyDescent="0.2">
      <c r="A61" s="371"/>
      <c r="B61" s="375"/>
      <c r="C61" s="413"/>
      <c r="D61" s="375"/>
      <c r="E61" s="373"/>
      <c r="F61" s="373"/>
      <c r="G61" s="373"/>
      <c r="H61" s="373"/>
      <c r="I61" s="373"/>
      <c r="J61" s="373"/>
      <c r="K61" s="373"/>
      <c r="L61" s="373"/>
      <c r="M61" s="373"/>
      <c r="N61" s="373"/>
      <c r="O61" s="373"/>
      <c r="P61" s="373"/>
      <c r="Q61" s="373"/>
      <c r="R61" s="373"/>
      <c r="S61" s="373"/>
      <c r="T61" s="373"/>
      <c r="U61" s="374">
        <f t="shared" si="18"/>
        <v>0</v>
      </c>
      <c r="V61" s="374"/>
      <c r="W61" s="374">
        <f t="shared" si="19"/>
        <v>0</v>
      </c>
      <c r="X61" s="375"/>
      <c r="Y61" s="376"/>
      <c r="Z61" s="408">
        <f t="shared" si="20"/>
        <v>0</v>
      </c>
      <c r="AA61" s="408">
        <f t="shared" si="21"/>
        <v>0</v>
      </c>
      <c r="AB61" s="408">
        <f t="shared" si="22"/>
        <v>0</v>
      </c>
      <c r="AC61" s="408">
        <f t="shared" si="23"/>
        <v>0</v>
      </c>
      <c r="AD61" s="408">
        <f t="shared" si="24"/>
        <v>0</v>
      </c>
      <c r="AE61" s="408">
        <f t="shared" si="25"/>
        <v>0</v>
      </c>
      <c r="AF61" s="408">
        <f t="shared" si="26"/>
        <v>0</v>
      </c>
      <c r="AG61" s="408">
        <f t="shared" si="27"/>
        <v>0</v>
      </c>
      <c r="AH61" s="408">
        <f t="shared" si="28"/>
        <v>0</v>
      </c>
      <c r="AI61" s="408">
        <f t="shared" si="29"/>
        <v>0</v>
      </c>
      <c r="AJ61" s="408">
        <f t="shared" si="30"/>
        <v>0</v>
      </c>
      <c r="AK61" s="408">
        <f t="shared" si="13"/>
        <v>0</v>
      </c>
      <c r="AL61" s="408">
        <f t="shared" si="31"/>
        <v>0</v>
      </c>
      <c r="AM61" s="408">
        <f t="shared" si="32"/>
        <v>0</v>
      </c>
      <c r="AN61" s="408">
        <f t="shared" si="33"/>
        <v>0</v>
      </c>
      <c r="AO61" s="408">
        <f t="shared" si="34"/>
        <v>0</v>
      </c>
    </row>
    <row r="62" spans="1:41" s="408" customFormat="1" ht="34.5" customHeight="1" x14ac:dyDescent="0.2">
      <c r="A62" s="371">
        <v>18</v>
      </c>
      <c r="B62" s="375">
        <v>5.22</v>
      </c>
      <c r="C62" s="413" t="s">
        <v>455</v>
      </c>
      <c r="D62" s="425"/>
      <c r="E62" s="373"/>
      <c r="F62" s="373"/>
      <c r="G62" s="373"/>
      <c r="H62" s="373"/>
      <c r="I62" s="373"/>
      <c r="J62" s="373"/>
      <c r="K62" s="373"/>
      <c r="L62" s="373"/>
      <c r="M62" s="373"/>
      <c r="N62" s="373"/>
      <c r="O62" s="373"/>
      <c r="P62" s="373"/>
      <c r="Q62" s="373"/>
      <c r="R62" s="373"/>
      <c r="S62" s="373"/>
      <c r="T62" s="373"/>
      <c r="U62" s="374">
        <f t="shared" si="18"/>
        <v>0</v>
      </c>
      <c r="V62" s="374"/>
      <c r="W62" s="374">
        <f t="shared" si="19"/>
        <v>0</v>
      </c>
      <c r="X62" s="375"/>
      <c r="Y62" s="376"/>
      <c r="Z62" s="408">
        <f t="shared" si="20"/>
        <v>0</v>
      </c>
      <c r="AA62" s="408">
        <f t="shared" si="21"/>
        <v>0</v>
      </c>
      <c r="AB62" s="408">
        <f t="shared" si="22"/>
        <v>0</v>
      </c>
      <c r="AC62" s="408">
        <f t="shared" si="23"/>
        <v>0</v>
      </c>
      <c r="AD62" s="408">
        <f t="shared" si="24"/>
        <v>0</v>
      </c>
      <c r="AE62" s="408">
        <f t="shared" si="25"/>
        <v>0</v>
      </c>
      <c r="AF62" s="408">
        <f t="shared" si="26"/>
        <v>0</v>
      </c>
      <c r="AG62" s="408">
        <f t="shared" si="27"/>
        <v>0</v>
      </c>
      <c r="AH62" s="408">
        <f t="shared" si="28"/>
        <v>0</v>
      </c>
      <c r="AI62" s="408">
        <f t="shared" si="29"/>
        <v>0</v>
      </c>
      <c r="AJ62" s="408">
        <f t="shared" si="30"/>
        <v>0</v>
      </c>
      <c r="AK62" s="408">
        <f t="shared" si="13"/>
        <v>0</v>
      </c>
      <c r="AL62" s="408">
        <f t="shared" si="31"/>
        <v>0</v>
      </c>
      <c r="AM62" s="408">
        <f t="shared" si="32"/>
        <v>0</v>
      </c>
      <c r="AN62" s="408">
        <f t="shared" si="33"/>
        <v>0</v>
      </c>
      <c r="AO62" s="408">
        <f t="shared" si="34"/>
        <v>0</v>
      </c>
    </row>
    <row r="63" spans="1:41" s="408" customFormat="1" ht="15.75" x14ac:dyDescent="0.2">
      <c r="A63" s="371"/>
      <c r="B63" s="375" t="s">
        <v>110</v>
      </c>
      <c r="C63" s="413" t="s">
        <v>111</v>
      </c>
      <c r="D63" s="375" t="s">
        <v>112</v>
      </c>
      <c r="E63" s="373"/>
      <c r="F63" s="373">
        <f>'allied infrastructre finishig w'!H136</f>
        <v>90208.8</v>
      </c>
      <c r="G63" s="373">
        <f>'WEIGH BRIDGE '!I55</f>
        <v>1735.1999999999996</v>
      </c>
      <c r="H63" s="373">
        <f>'WEIGH BRIDGE CABIN '!I101</f>
        <v>341.64690000000002</v>
      </c>
      <c r="I63" s="373">
        <f>'COOLING TOWER '!I169</f>
        <v>38833.804800000005</v>
      </c>
      <c r="J63" s="373">
        <f>'FUEL YARD'!I99</f>
        <v>7691.9669999999987</v>
      </c>
      <c r="K63" s="373">
        <f>'PIPE RACK FOUNDATION '!H52</f>
        <v>10935</v>
      </c>
      <c r="L63" s="373">
        <f>'GAS TANK STORAGE'!H55</f>
        <v>66.239999999999995</v>
      </c>
      <c r="M63" s="373">
        <f>'DG FOUNDATION '!H63</f>
        <v>6453.75</v>
      </c>
      <c r="N63" s="373">
        <f>'CHIMNEY BOILER  FOUNDATION '!I132</f>
        <v>10440.144</v>
      </c>
      <c r="O63" s="373">
        <f>'HT YARD WITH CABLE TRENCH '!H49</f>
        <v>12081.599999999997</v>
      </c>
      <c r="P63" s="373">
        <f>'ELECTRICAL LINE FOUNDATION '!H66</f>
        <v>2390.94</v>
      </c>
      <c r="Q63" s="373">
        <f>'PARKING '!H82</f>
        <v>11407.5</v>
      </c>
      <c r="R63" s="373">
        <f>'FIRE LINE '!H75</f>
        <v>1172.8000000000004</v>
      </c>
      <c r="S63" s="373"/>
      <c r="T63" s="373">
        <f>'LIQUID STORAGE PLATFORM '!H61</f>
        <v>15045.623999999998</v>
      </c>
      <c r="U63" s="374">
        <f t="shared" si="18"/>
        <v>208805.01670000001</v>
      </c>
      <c r="V63" s="374">
        <v>89.65</v>
      </c>
      <c r="W63" s="374">
        <f t="shared" si="19"/>
        <v>18719369.747155003</v>
      </c>
      <c r="X63" s="375"/>
      <c r="Y63" s="376"/>
      <c r="Z63" s="408">
        <f t="shared" si="20"/>
        <v>0</v>
      </c>
      <c r="AA63" s="408">
        <f t="shared" si="21"/>
        <v>8087218.9200000009</v>
      </c>
      <c r="AB63" s="408">
        <f t="shared" si="22"/>
        <v>155560.67999999996</v>
      </c>
      <c r="AC63" s="408">
        <f t="shared" si="23"/>
        <v>30628.644585000002</v>
      </c>
      <c r="AD63" s="408">
        <f t="shared" si="24"/>
        <v>3481450.6003200007</v>
      </c>
      <c r="AE63" s="408">
        <f t="shared" si="25"/>
        <v>689584.8415499999</v>
      </c>
      <c r="AF63" s="408">
        <f t="shared" si="26"/>
        <v>980322.75000000012</v>
      </c>
      <c r="AG63" s="408">
        <f t="shared" si="27"/>
        <v>5938.4160000000002</v>
      </c>
      <c r="AH63" s="408">
        <f t="shared" si="28"/>
        <v>578578.6875</v>
      </c>
      <c r="AI63" s="408">
        <f t="shared" si="29"/>
        <v>935958.90960000013</v>
      </c>
      <c r="AJ63" s="408">
        <f t="shared" si="30"/>
        <v>1083115.4399999997</v>
      </c>
      <c r="AK63" s="408">
        <f t="shared" si="13"/>
        <v>214347.77100000001</v>
      </c>
      <c r="AL63" s="408">
        <f t="shared" si="31"/>
        <v>1022682.3750000001</v>
      </c>
      <c r="AM63" s="408">
        <f t="shared" si="32"/>
        <v>105141.52000000005</v>
      </c>
      <c r="AN63" s="408">
        <f t="shared" si="33"/>
        <v>0</v>
      </c>
      <c r="AO63" s="408">
        <f t="shared" si="34"/>
        <v>1348840.1916</v>
      </c>
    </row>
    <row r="64" spans="1:41" s="408" customFormat="1" ht="15.75" x14ac:dyDescent="0.2">
      <c r="A64" s="371"/>
      <c r="B64" s="375"/>
      <c r="C64" s="413"/>
      <c r="D64" s="375"/>
      <c r="E64" s="373"/>
      <c r="F64" s="373"/>
      <c r="G64" s="373"/>
      <c r="H64" s="373"/>
      <c r="I64" s="373"/>
      <c r="J64" s="373"/>
      <c r="K64" s="373"/>
      <c r="L64" s="373"/>
      <c r="M64" s="373"/>
      <c r="N64" s="373"/>
      <c r="O64" s="373"/>
      <c r="P64" s="373"/>
      <c r="Q64" s="373"/>
      <c r="R64" s="373"/>
      <c r="S64" s="373"/>
      <c r="T64" s="373"/>
      <c r="U64" s="374">
        <f t="shared" si="18"/>
        <v>0</v>
      </c>
      <c r="V64" s="374"/>
      <c r="W64" s="374">
        <f t="shared" si="19"/>
        <v>0</v>
      </c>
      <c r="X64" s="375"/>
      <c r="Y64" s="376"/>
      <c r="Z64" s="408">
        <f t="shared" si="20"/>
        <v>0</v>
      </c>
      <c r="AA64" s="408">
        <f t="shared" si="21"/>
        <v>0</v>
      </c>
      <c r="AB64" s="408">
        <f t="shared" si="22"/>
        <v>0</v>
      </c>
      <c r="AC64" s="408">
        <f t="shared" si="23"/>
        <v>0</v>
      </c>
      <c r="AD64" s="408">
        <f t="shared" si="24"/>
        <v>0</v>
      </c>
      <c r="AE64" s="408">
        <f t="shared" si="25"/>
        <v>0</v>
      </c>
      <c r="AF64" s="408">
        <f t="shared" si="26"/>
        <v>0</v>
      </c>
      <c r="AG64" s="408">
        <f t="shared" si="27"/>
        <v>0</v>
      </c>
      <c r="AH64" s="408">
        <f t="shared" si="28"/>
        <v>0</v>
      </c>
      <c r="AI64" s="408">
        <f t="shared" si="29"/>
        <v>0</v>
      </c>
      <c r="AJ64" s="408">
        <f t="shared" si="30"/>
        <v>0</v>
      </c>
      <c r="AK64" s="408">
        <f t="shared" si="13"/>
        <v>0</v>
      </c>
      <c r="AL64" s="408">
        <f t="shared" si="31"/>
        <v>0</v>
      </c>
      <c r="AM64" s="408">
        <f t="shared" si="32"/>
        <v>0</v>
      </c>
      <c r="AN64" s="408">
        <f t="shared" si="33"/>
        <v>0</v>
      </c>
      <c r="AO64" s="408">
        <f t="shared" si="34"/>
        <v>0</v>
      </c>
    </row>
    <row r="65" spans="1:41" s="408" customFormat="1" ht="47.25" x14ac:dyDescent="0.2">
      <c r="A65" s="371">
        <v>19</v>
      </c>
      <c r="B65" s="375">
        <v>4.7</v>
      </c>
      <c r="C65" s="413" t="s">
        <v>115</v>
      </c>
      <c r="D65" s="375"/>
      <c r="E65" s="373"/>
      <c r="F65" s="373"/>
      <c r="G65" s="373"/>
      <c r="H65" s="373"/>
      <c r="I65" s="373"/>
      <c r="J65" s="373"/>
      <c r="K65" s="373"/>
      <c r="L65" s="373"/>
      <c r="M65" s="373"/>
      <c r="N65" s="373"/>
      <c r="O65" s="373"/>
      <c r="P65" s="373"/>
      <c r="Q65" s="373"/>
      <c r="R65" s="373"/>
      <c r="S65" s="373"/>
      <c r="T65" s="373"/>
      <c r="U65" s="374">
        <f t="shared" si="18"/>
        <v>0</v>
      </c>
      <c r="V65" s="374"/>
      <c r="W65" s="374">
        <f t="shared" si="19"/>
        <v>0</v>
      </c>
      <c r="X65" s="375"/>
      <c r="Y65" s="376"/>
      <c r="Z65" s="408">
        <f t="shared" si="20"/>
        <v>0</v>
      </c>
      <c r="AA65" s="408">
        <f t="shared" si="21"/>
        <v>0</v>
      </c>
      <c r="AB65" s="408">
        <f t="shared" si="22"/>
        <v>0</v>
      </c>
      <c r="AC65" s="408">
        <f t="shared" si="23"/>
        <v>0</v>
      </c>
      <c r="AD65" s="408">
        <f t="shared" si="24"/>
        <v>0</v>
      </c>
      <c r="AE65" s="408">
        <f t="shared" si="25"/>
        <v>0</v>
      </c>
      <c r="AF65" s="408">
        <f t="shared" si="26"/>
        <v>0</v>
      </c>
      <c r="AG65" s="408">
        <f t="shared" si="27"/>
        <v>0</v>
      </c>
      <c r="AH65" s="408">
        <f t="shared" si="28"/>
        <v>0</v>
      </c>
      <c r="AI65" s="408">
        <f t="shared" si="29"/>
        <v>0</v>
      </c>
      <c r="AJ65" s="408">
        <f t="shared" si="30"/>
        <v>0</v>
      </c>
      <c r="AK65" s="408">
        <f t="shared" si="13"/>
        <v>0</v>
      </c>
      <c r="AL65" s="408">
        <f t="shared" si="31"/>
        <v>0</v>
      </c>
      <c r="AM65" s="408">
        <f t="shared" si="32"/>
        <v>0</v>
      </c>
      <c r="AN65" s="408">
        <f t="shared" si="33"/>
        <v>0</v>
      </c>
      <c r="AO65" s="408">
        <f t="shared" si="34"/>
        <v>0</v>
      </c>
    </row>
    <row r="66" spans="1:41" s="408" customFormat="1" ht="31.5" x14ac:dyDescent="0.2">
      <c r="A66" s="371"/>
      <c r="B66" s="375" t="s">
        <v>116</v>
      </c>
      <c r="C66" s="413" t="s">
        <v>117</v>
      </c>
      <c r="D66" s="375" t="s">
        <v>43</v>
      </c>
      <c r="E66" s="373"/>
      <c r="F66" s="373"/>
      <c r="G66" s="373">
        <f>'WEIGH BRIDGE '!I58</f>
        <v>0.8640000000000001</v>
      </c>
      <c r="H66" s="373">
        <f>'WEIGH BRIDGE CABIN '!I106</f>
        <v>4.5579999999999998</v>
      </c>
      <c r="I66" s="373">
        <f>'COOLING TOWER '!I173</f>
        <v>200</v>
      </c>
      <c r="J66" s="373">
        <f>'FUEL YARD'!I120</f>
        <v>9.9084000000000003</v>
      </c>
      <c r="K66" s="373"/>
      <c r="L66" s="373"/>
      <c r="M66" s="373">
        <f>'DG FOUNDATION '!H66</f>
        <v>17.220000000000002</v>
      </c>
      <c r="N66" s="373"/>
      <c r="O66" s="373">
        <f>'HT YARD WITH CABLE TRENCH '!H50</f>
        <v>0.5</v>
      </c>
      <c r="P66" s="373"/>
      <c r="Q66" s="373"/>
      <c r="R66" s="373"/>
      <c r="S66" s="373"/>
      <c r="T66" s="373"/>
      <c r="U66" s="374">
        <f t="shared" si="18"/>
        <v>233.0504</v>
      </c>
      <c r="V66" s="374">
        <v>15762.45</v>
      </c>
      <c r="W66" s="374">
        <f t="shared" si="19"/>
        <v>3673445.2774800002</v>
      </c>
      <c r="X66" s="375"/>
      <c r="Y66" s="376"/>
      <c r="Z66" s="408">
        <f t="shared" si="20"/>
        <v>0</v>
      </c>
      <c r="AA66" s="408">
        <f t="shared" si="21"/>
        <v>0</v>
      </c>
      <c r="AB66" s="408">
        <f t="shared" si="22"/>
        <v>13618.756800000003</v>
      </c>
      <c r="AC66" s="408">
        <f t="shared" si="23"/>
        <v>71845.247100000008</v>
      </c>
      <c r="AD66" s="408">
        <f t="shared" si="24"/>
        <v>3152490</v>
      </c>
      <c r="AE66" s="408">
        <f t="shared" si="25"/>
        <v>156180.65958000001</v>
      </c>
      <c r="AF66" s="408">
        <f t="shared" si="26"/>
        <v>0</v>
      </c>
      <c r="AG66" s="408">
        <f t="shared" si="27"/>
        <v>0</v>
      </c>
      <c r="AH66" s="408">
        <f t="shared" si="28"/>
        <v>271429.38900000002</v>
      </c>
      <c r="AI66" s="408">
        <f t="shared" si="29"/>
        <v>0</v>
      </c>
      <c r="AJ66" s="408">
        <f t="shared" si="30"/>
        <v>7881.2250000000004</v>
      </c>
      <c r="AK66" s="408">
        <f t="shared" si="13"/>
        <v>0</v>
      </c>
      <c r="AL66" s="408">
        <f t="shared" si="31"/>
        <v>0</v>
      </c>
      <c r="AM66" s="408">
        <f t="shared" si="32"/>
        <v>0</v>
      </c>
      <c r="AN66" s="408">
        <f t="shared" si="33"/>
        <v>0</v>
      </c>
      <c r="AO66" s="408">
        <f t="shared" si="34"/>
        <v>0</v>
      </c>
    </row>
    <row r="67" spans="1:41" s="408" customFormat="1" ht="31.5" x14ac:dyDescent="0.2">
      <c r="A67" s="371">
        <v>20</v>
      </c>
      <c r="B67" s="375">
        <v>6.13</v>
      </c>
      <c r="C67" s="413" t="s">
        <v>118</v>
      </c>
      <c r="D67" s="375"/>
      <c r="E67" s="373"/>
      <c r="F67" s="373"/>
      <c r="G67" s="373"/>
      <c r="H67" s="373"/>
      <c r="I67" s="373"/>
      <c r="J67" s="373"/>
      <c r="K67" s="373"/>
      <c r="L67" s="373"/>
      <c r="M67" s="373"/>
      <c r="N67" s="373"/>
      <c r="O67" s="373"/>
      <c r="P67" s="373"/>
      <c r="Q67" s="373"/>
      <c r="R67" s="373"/>
      <c r="S67" s="373"/>
      <c r="T67" s="373"/>
      <c r="U67" s="374">
        <f t="shared" si="18"/>
        <v>0</v>
      </c>
      <c r="V67" s="374"/>
      <c r="W67" s="374">
        <f t="shared" si="19"/>
        <v>0</v>
      </c>
      <c r="X67" s="375"/>
      <c r="Y67" s="376"/>
      <c r="Z67" s="408">
        <f t="shared" si="20"/>
        <v>0</v>
      </c>
      <c r="AA67" s="408">
        <f t="shared" si="21"/>
        <v>0</v>
      </c>
      <c r="AB67" s="408">
        <f t="shared" si="22"/>
        <v>0</v>
      </c>
      <c r="AC67" s="408">
        <f t="shared" si="23"/>
        <v>0</v>
      </c>
      <c r="AD67" s="408">
        <f t="shared" si="24"/>
        <v>0</v>
      </c>
      <c r="AE67" s="408">
        <f t="shared" si="25"/>
        <v>0</v>
      </c>
      <c r="AF67" s="408">
        <f t="shared" si="26"/>
        <v>0</v>
      </c>
      <c r="AG67" s="408">
        <f t="shared" si="27"/>
        <v>0</v>
      </c>
      <c r="AH67" s="408">
        <f t="shared" si="28"/>
        <v>0</v>
      </c>
      <c r="AI67" s="408">
        <f t="shared" si="29"/>
        <v>0</v>
      </c>
      <c r="AJ67" s="408">
        <f t="shared" si="30"/>
        <v>0</v>
      </c>
      <c r="AK67" s="408">
        <f t="shared" si="13"/>
        <v>0</v>
      </c>
      <c r="AL67" s="408">
        <f t="shared" si="31"/>
        <v>0</v>
      </c>
      <c r="AM67" s="408">
        <f t="shared" si="32"/>
        <v>0</v>
      </c>
      <c r="AN67" s="408">
        <f t="shared" si="33"/>
        <v>0</v>
      </c>
      <c r="AO67" s="408">
        <f t="shared" si="34"/>
        <v>0</v>
      </c>
    </row>
    <row r="68" spans="1:41" s="408" customFormat="1" ht="15.75" x14ac:dyDescent="0.2">
      <c r="A68" s="371"/>
      <c r="B68" s="375" t="s">
        <v>119</v>
      </c>
      <c r="C68" s="413" t="s">
        <v>120</v>
      </c>
      <c r="D68" s="375" t="s">
        <v>73</v>
      </c>
      <c r="E68" s="373"/>
      <c r="F68" s="373"/>
      <c r="G68" s="373"/>
      <c r="H68" s="373"/>
      <c r="I68" s="373"/>
      <c r="J68" s="373"/>
      <c r="K68" s="373"/>
      <c r="L68" s="373"/>
      <c r="M68" s="373"/>
      <c r="N68" s="373"/>
      <c r="O68" s="373"/>
      <c r="P68" s="373"/>
      <c r="Q68" s="373"/>
      <c r="R68" s="373"/>
      <c r="S68" s="373"/>
      <c r="T68" s="373"/>
      <c r="U68" s="374">
        <f t="shared" si="18"/>
        <v>0</v>
      </c>
      <c r="V68" s="374">
        <v>1018.05</v>
      </c>
      <c r="W68" s="374">
        <f t="shared" si="19"/>
        <v>0</v>
      </c>
      <c r="X68" s="375"/>
      <c r="Y68" s="376"/>
      <c r="Z68" s="408">
        <f t="shared" si="20"/>
        <v>0</v>
      </c>
      <c r="AA68" s="408">
        <f t="shared" si="21"/>
        <v>0</v>
      </c>
      <c r="AB68" s="408">
        <f t="shared" si="22"/>
        <v>0</v>
      </c>
      <c r="AC68" s="408">
        <f t="shared" si="23"/>
        <v>0</v>
      </c>
      <c r="AD68" s="408">
        <f t="shared" si="24"/>
        <v>0</v>
      </c>
      <c r="AE68" s="408">
        <f t="shared" si="25"/>
        <v>0</v>
      </c>
      <c r="AF68" s="408">
        <f t="shared" si="26"/>
        <v>0</v>
      </c>
      <c r="AG68" s="408">
        <f t="shared" si="27"/>
        <v>0</v>
      </c>
      <c r="AH68" s="408">
        <f t="shared" si="28"/>
        <v>0</v>
      </c>
      <c r="AI68" s="408">
        <f t="shared" si="29"/>
        <v>0</v>
      </c>
      <c r="AJ68" s="408">
        <f t="shared" si="30"/>
        <v>0</v>
      </c>
      <c r="AK68" s="408">
        <f t="shared" si="13"/>
        <v>0</v>
      </c>
      <c r="AL68" s="408">
        <f t="shared" si="31"/>
        <v>0</v>
      </c>
      <c r="AM68" s="408">
        <f t="shared" si="32"/>
        <v>0</v>
      </c>
      <c r="AN68" s="408">
        <f t="shared" si="33"/>
        <v>0</v>
      </c>
      <c r="AO68" s="408">
        <f t="shared" si="34"/>
        <v>0</v>
      </c>
    </row>
    <row r="69" spans="1:41" s="408" customFormat="1" ht="78.75" x14ac:dyDescent="0.25">
      <c r="A69" s="371">
        <v>21</v>
      </c>
      <c r="B69" s="375">
        <v>13</v>
      </c>
      <c r="C69" s="417" t="s">
        <v>121</v>
      </c>
      <c r="D69" s="375"/>
      <c r="E69" s="373"/>
      <c r="F69" s="373"/>
      <c r="G69" s="373"/>
      <c r="H69" s="373"/>
      <c r="I69" s="373"/>
      <c r="J69" s="373"/>
      <c r="K69" s="373"/>
      <c r="L69" s="373"/>
      <c r="M69" s="373"/>
      <c r="N69" s="373"/>
      <c r="O69" s="373"/>
      <c r="P69" s="373"/>
      <c r="Q69" s="373"/>
      <c r="R69" s="373"/>
      <c r="S69" s="373"/>
      <c r="T69" s="373"/>
      <c r="U69" s="374">
        <f t="shared" si="18"/>
        <v>0</v>
      </c>
      <c r="V69" s="426"/>
      <c r="W69" s="374">
        <f t="shared" si="19"/>
        <v>0</v>
      </c>
      <c r="X69" s="375"/>
      <c r="Y69" s="376"/>
      <c r="Z69" s="408">
        <f t="shared" si="20"/>
        <v>0</v>
      </c>
      <c r="AA69" s="408">
        <f t="shared" si="21"/>
        <v>0</v>
      </c>
      <c r="AB69" s="408">
        <f t="shared" si="22"/>
        <v>0</v>
      </c>
      <c r="AC69" s="408">
        <f t="shared" si="23"/>
        <v>0</v>
      </c>
      <c r="AD69" s="408">
        <f t="shared" si="24"/>
        <v>0</v>
      </c>
      <c r="AE69" s="408">
        <f t="shared" si="25"/>
        <v>0</v>
      </c>
      <c r="AF69" s="408">
        <f t="shared" si="26"/>
        <v>0</v>
      </c>
      <c r="AG69" s="408">
        <f t="shared" si="27"/>
        <v>0</v>
      </c>
      <c r="AH69" s="408">
        <f t="shared" si="28"/>
        <v>0</v>
      </c>
      <c r="AI69" s="408">
        <f t="shared" si="29"/>
        <v>0</v>
      </c>
      <c r="AJ69" s="408">
        <f t="shared" si="30"/>
        <v>0</v>
      </c>
      <c r="AK69" s="408">
        <f t="shared" si="13"/>
        <v>0</v>
      </c>
      <c r="AL69" s="408">
        <f t="shared" si="31"/>
        <v>0</v>
      </c>
      <c r="AM69" s="408">
        <f t="shared" si="32"/>
        <v>0</v>
      </c>
      <c r="AN69" s="408">
        <f t="shared" si="33"/>
        <v>0</v>
      </c>
      <c r="AO69" s="408">
        <f t="shared" si="34"/>
        <v>0</v>
      </c>
    </row>
    <row r="70" spans="1:41" s="408" customFormat="1" ht="15.75" x14ac:dyDescent="0.2">
      <c r="A70" s="371"/>
      <c r="B70" s="375">
        <v>13.1</v>
      </c>
      <c r="C70" s="413" t="s">
        <v>122</v>
      </c>
      <c r="D70" s="375"/>
      <c r="E70" s="373"/>
      <c r="F70" s="373"/>
      <c r="G70" s="373"/>
      <c r="H70" s="373"/>
      <c r="I70" s="373"/>
      <c r="J70" s="373"/>
      <c r="K70" s="373"/>
      <c r="L70" s="373"/>
      <c r="M70" s="373"/>
      <c r="N70" s="373"/>
      <c r="O70" s="373"/>
      <c r="P70" s="373"/>
      <c r="Q70" s="373"/>
      <c r="R70" s="373"/>
      <c r="S70" s="373"/>
      <c r="T70" s="373"/>
      <c r="U70" s="374">
        <f t="shared" si="18"/>
        <v>0</v>
      </c>
      <c r="V70" s="374"/>
      <c r="W70" s="374">
        <f t="shared" si="19"/>
        <v>0</v>
      </c>
      <c r="X70" s="375"/>
      <c r="Y70" s="376"/>
      <c r="Z70" s="408">
        <f t="shared" si="20"/>
        <v>0</v>
      </c>
      <c r="AA70" s="408">
        <f t="shared" si="21"/>
        <v>0</v>
      </c>
      <c r="AB70" s="408">
        <f t="shared" si="22"/>
        <v>0</v>
      </c>
      <c r="AC70" s="408">
        <f t="shared" si="23"/>
        <v>0</v>
      </c>
      <c r="AD70" s="408">
        <f t="shared" si="24"/>
        <v>0</v>
      </c>
      <c r="AE70" s="408">
        <f t="shared" si="25"/>
        <v>0</v>
      </c>
      <c r="AF70" s="408">
        <f t="shared" si="26"/>
        <v>0</v>
      </c>
      <c r="AG70" s="408">
        <f t="shared" si="27"/>
        <v>0</v>
      </c>
      <c r="AH70" s="408">
        <f t="shared" si="28"/>
        <v>0</v>
      </c>
      <c r="AI70" s="408">
        <f t="shared" si="29"/>
        <v>0</v>
      </c>
      <c r="AJ70" s="408">
        <f t="shared" si="30"/>
        <v>0</v>
      </c>
      <c r="AK70" s="408">
        <f t="shared" si="13"/>
        <v>0</v>
      </c>
      <c r="AL70" s="408">
        <f t="shared" si="31"/>
        <v>0</v>
      </c>
      <c r="AM70" s="408">
        <f t="shared" si="32"/>
        <v>0</v>
      </c>
      <c r="AN70" s="408">
        <f t="shared" si="33"/>
        <v>0</v>
      </c>
      <c r="AO70" s="408">
        <f t="shared" si="34"/>
        <v>0</v>
      </c>
    </row>
    <row r="71" spans="1:41" s="408" customFormat="1" ht="15.75" x14ac:dyDescent="0.2">
      <c r="A71" s="371"/>
      <c r="B71" s="375" t="s">
        <v>123</v>
      </c>
      <c r="C71" s="413" t="s">
        <v>124</v>
      </c>
      <c r="D71" s="375" t="s">
        <v>73</v>
      </c>
      <c r="E71" s="373"/>
      <c r="F71" s="373"/>
      <c r="G71" s="373">
        <f>'WEIGH BRIDGE '!I66</f>
        <v>8.64</v>
      </c>
      <c r="H71" s="373">
        <f>'WEIGH BRIDGE CABIN '!I116</f>
        <v>25.79</v>
      </c>
      <c r="I71" s="373">
        <f>'COOLING TOWER '!I177</f>
        <v>1063.0871999999999</v>
      </c>
      <c r="J71" s="373">
        <f>'FUEL YARD'!I130</f>
        <v>86.16</v>
      </c>
      <c r="K71" s="373"/>
      <c r="L71" s="373"/>
      <c r="M71" s="373">
        <f>'DG FOUNDATION '!H74</f>
        <v>206.2</v>
      </c>
      <c r="N71" s="373"/>
      <c r="O71" s="373">
        <v>5</v>
      </c>
      <c r="P71" s="373"/>
      <c r="Q71" s="373"/>
      <c r="R71" s="373"/>
      <c r="S71" s="373"/>
      <c r="T71" s="373"/>
      <c r="U71" s="374">
        <f t="shared" si="18"/>
        <v>1394.8772000000001</v>
      </c>
      <c r="V71" s="374">
        <v>294.85000000000002</v>
      </c>
      <c r="W71" s="374">
        <f t="shared" si="19"/>
        <v>411279.54242000007</v>
      </c>
      <c r="X71" s="375"/>
      <c r="Y71" s="376"/>
      <c r="Z71" s="408">
        <f t="shared" si="20"/>
        <v>0</v>
      </c>
      <c r="AA71" s="408">
        <f t="shared" si="21"/>
        <v>0</v>
      </c>
      <c r="AB71" s="408">
        <f t="shared" si="22"/>
        <v>2547.5040000000004</v>
      </c>
      <c r="AC71" s="408">
        <f t="shared" si="23"/>
        <v>7604.1815000000006</v>
      </c>
      <c r="AD71" s="408">
        <f t="shared" si="24"/>
        <v>313451.26092000003</v>
      </c>
      <c r="AE71" s="408">
        <f t="shared" si="25"/>
        <v>25404.276000000002</v>
      </c>
      <c r="AF71" s="408">
        <f t="shared" si="26"/>
        <v>0</v>
      </c>
      <c r="AG71" s="408">
        <f t="shared" si="27"/>
        <v>0</v>
      </c>
      <c r="AH71" s="408">
        <f t="shared" si="28"/>
        <v>60798.07</v>
      </c>
      <c r="AI71" s="408">
        <f t="shared" si="29"/>
        <v>0</v>
      </c>
      <c r="AJ71" s="408">
        <f t="shared" si="30"/>
        <v>1474.25</v>
      </c>
      <c r="AK71" s="408">
        <f t="shared" si="13"/>
        <v>0</v>
      </c>
      <c r="AL71" s="408">
        <f t="shared" si="31"/>
        <v>0</v>
      </c>
      <c r="AM71" s="408">
        <f t="shared" si="32"/>
        <v>0</v>
      </c>
      <c r="AN71" s="408">
        <f t="shared" si="33"/>
        <v>0</v>
      </c>
      <c r="AO71" s="408">
        <f t="shared" si="34"/>
        <v>0</v>
      </c>
    </row>
    <row r="72" spans="1:41" s="408" customFormat="1" ht="63" x14ac:dyDescent="0.2">
      <c r="A72" s="371"/>
      <c r="B72" s="375"/>
      <c r="C72" s="417" t="s">
        <v>452</v>
      </c>
      <c r="D72" s="375"/>
      <c r="E72" s="373"/>
      <c r="F72" s="373"/>
      <c r="G72" s="373"/>
      <c r="H72" s="373"/>
      <c r="I72" s="373"/>
      <c r="J72" s="373"/>
      <c r="K72" s="373"/>
      <c r="L72" s="373"/>
      <c r="M72" s="373"/>
      <c r="N72" s="373"/>
      <c r="O72" s="373"/>
      <c r="P72" s="373"/>
      <c r="Q72" s="373"/>
      <c r="R72" s="373"/>
      <c r="S72" s="373"/>
      <c r="T72" s="373"/>
      <c r="U72" s="374">
        <f t="shared" si="18"/>
        <v>0</v>
      </c>
      <c r="V72" s="374"/>
      <c r="W72" s="374">
        <f t="shared" si="19"/>
        <v>0</v>
      </c>
      <c r="X72" s="375"/>
      <c r="Y72" s="376"/>
      <c r="Z72" s="408">
        <f t="shared" si="20"/>
        <v>0</v>
      </c>
      <c r="AA72" s="408">
        <f t="shared" si="21"/>
        <v>0</v>
      </c>
      <c r="AB72" s="408">
        <f t="shared" si="22"/>
        <v>0</v>
      </c>
      <c r="AC72" s="408">
        <f t="shared" si="23"/>
        <v>0</v>
      </c>
      <c r="AD72" s="408">
        <f t="shared" si="24"/>
        <v>0</v>
      </c>
      <c r="AE72" s="408">
        <f t="shared" si="25"/>
        <v>0</v>
      </c>
      <c r="AF72" s="408">
        <f t="shared" si="26"/>
        <v>0</v>
      </c>
      <c r="AG72" s="408">
        <f t="shared" si="27"/>
        <v>0</v>
      </c>
      <c r="AH72" s="408">
        <f t="shared" si="28"/>
        <v>0</v>
      </c>
      <c r="AI72" s="408">
        <f t="shared" si="29"/>
        <v>0</v>
      </c>
      <c r="AJ72" s="408">
        <f t="shared" si="30"/>
        <v>0</v>
      </c>
      <c r="AK72" s="408">
        <f t="shared" si="13"/>
        <v>0</v>
      </c>
      <c r="AL72" s="408">
        <f t="shared" si="31"/>
        <v>0</v>
      </c>
      <c r="AM72" s="408">
        <f t="shared" si="32"/>
        <v>0</v>
      </c>
      <c r="AN72" s="408">
        <f t="shared" si="33"/>
        <v>0</v>
      </c>
      <c r="AO72" s="408">
        <f t="shared" si="34"/>
        <v>0</v>
      </c>
    </row>
    <row r="73" spans="1:41" s="408" customFormat="1" ht="15.75" x14ac:dyDescent="0.2">
      <c r="A73" s="371"/>
      <c r="B73" s="375">
        <v>13.3</v>
      </c>
      <c r="C73" s="415" t="s">
        <v>126</v>
      </c>
      <c r="D73" s="375"/>
      <c r="E73" s="373"/>
      <c r="F73" s="373"/>
      <c r="G73" s="373"/>
      <c r="H73" s="373"/>
      <c r="I73" s="373"/>
      <c r="J73" s="373"/>
      <c r="K73" s="373"/>
      <c r="L73" s="373"/>
      <c r="M73" s="373"/>
      <c r="N73" s="373"/>
      <c r="O73" s="373"/>
      <c r="P73" s="373"/>
      <c r="Q73" s="373"/>
      <c r="R73" s="373"/>
      <c r="S73" s="373"/>
      <c r="T73" s="373"/>
      <c r="U73" s="374">
        <f t="shared" si="18"/>
        <v>0</v>
      </c>
      <c r="V73" s="374"/>
      <c r="W73" s="374">
        <f t="shared" si="19"/>
        <v>0</v>
      </c>
      <c r="X73" s="375"/>
      <c r="Y73" s="376"/>
      <c r="Z73" s="408">
        <f t="shared" si="20"/>
        <v>0</v>
      </c>
      <c r="AA73" s="408">
        <f t="shared" si="21"/>
        <v>0</v>
      </c>
      <c r="AB73" s="408">
        <f t="shared" si="22"/>
        <v>0</v>
      </c>
      <c r="AC73" s="408">
        <f t="shared" si="23"/>
        <v>0</v>
      </c>
      <c r="AD73" s="408">
        <f t="shared" si="24"/>
        <v>0</v>
      </c>
      <c r="AE73" s="408">
        <f t="shared" si="25"/>
        <v>0</v>
      </c>
      <c r="AF73" s="408">
        <f t="shared" si="26"/>
        <v>0</v>
      </c>
      <c r="AG73" s="408">
        <f t="shared" si="27"/>
        <v>0</v>
      </c>
      <c r="AH73" s="408">
        <f t="shared" si="28"/>
        <v>0</v>
      </c>
      <c r="AI73" s="408">
        <f t="shared" si="29"/>
        <v>0</v>
      </c>
      <c r="AJ73" s="408">
        <f t="shared" si="30"/>
        <v>0</v>
      </c>
      <c r="AK73" s="408">
        <f t="shared" si="13"/>
        <v>0</v>
      </c>
      <c r="AL73" s="408">
        <f t="shared" si="31"/>
        <v>0</v>
      </c>
      <c r="AM73" s="408">
        <f t="shared" si="32"/>
        <v>0</v>
      </c>
      <c r="AN73" s="408">
        <f t="shared" si="33"/>
        <v>0</v>
      </c>
      <c r="AO73" s="408">
        <f t="shared" si="34"/>
        <v>0</v>
      </c>
    </row>
    <row r="74" spans="1:41" s="408" customFormat="1" ht="15.75" x14ac:dyDescent="0.2">
      <c r="A74" s="371"/>
      <c r="B74" s="375" t="s">
        <v>127</v>
      </c>
      <c r="C74" s="413" t="s">
        <v>124</v>
      </c>
      <c r="D74" s="375" t="s">
        <v>73</v>
      </c>
      <c r="E74" s="373"/>
      <c r="F74" s="373"/>
      <c r="G74" s="373">
        <f>'WEIGH BRIDGE '!I69</f>
        <v>4.32</v>
      </c>
      <c r="H74" s="373">
        <v>25.8</v>
      </c>
      <c r="I74" s="373">
        <f>'COOLING TOWER '!I203</f>
        <v>600</v>
      </c>
      <c r="J74" s="373">
        <f>'FUEL YARD'!I136</f>
        <v>86.16</v>
      </c>
      <c r="K74" s="373"/>
      <c r="L74" s="373"/>
      <c r="M74" s="373">
        <v>206.2</v>
      </c>
      <c r="N74" s="373"/>
      <c r="O74" s="373">
        <v>2.5</v>
      </c>
      <c r="P74" s="373"/>
      <c r="Q74" s="373"/>
      <c r="R74" s="373"/>
      <c r="S74" s="373"/>
      <c r="T74" s="373"/>
      <c r="U74" s="374">
        <f t="shared" si="18"/>
        <v>924.98</v>
      </c>
      <c r="V74" s="374">
        <v>402.15</v>
      </c>
      <c r="W74" s="374">
        <f t="shared" si="19"/>
        <v>371980.70699999999</v>
      </c>
      <c r="X74" s="375"/>
      <c r="Y74" s="376"/>
      <c r="Z74" s="408">
        <f t="shared" si="20"/>
        <v>0</v>
      </c>
      <c r="AA74" s="408">
        <f t="shared" si="21"/>
        <v>0</v>
      </c>
      <c r="AB74" s="408">
        <f t="shared" si="22"/>
        <v>1737.288</v>
      </c>
      <c r="AC74" s="408">
        <f t="shared" si="23"/>
        <v>10375.469999999999</v>
      </c>
      <c r="AD74" s="408">
        <f t="shared" si="24"/>
        <v>241290</v>
      </c>
      <c r="AE74" s="408">
        <f t="shared" si="25"/>
        <v>34649.243999999999</v>
      </c>
      <c r="AF74" s="408">
        <f t="shared" si="26"/>
        <v>0</v>
      </c>
      <c r="AG74" s="408">
        <f t="shared" si="27"/>
        <v>0</v>
      </c>
      <c r="AH74" s="408">
        <f t="shared" si="28"/>
        <v>82923.329999999987</v>
      </c>
      <c r="AI74" s="408">
        <f t="shared" si="29"/>
        <v>0</v>
      </c>
      <c r="AJ74" s="408">
        <f t="shared" si="30"/>
        <v>1005.375</v>
      </c>
      <c r="AK74" s="408">
        <f t="shared" si="13"/>
        <v>0</v>
      </c>
      <c r="AL74" s="408">
        <f t="shared" si="31"/>
        <v>0</v>
      </c>
      <c r="AM74" s="408">
        <f t="shared" si="32"/>
        <v>0</v>
      </c>
      <c r="AN74" s="408">
        <f t="shared" si="33"/>
        <v>0</v>
      </c>
      <c r="AO74" s="408">
        <f t="shared" si="34"/>
        <v>0</v>
      </c>
    </row>
    <row r="75" spans="1:41" s="408" customFormat="1" ht="15.75" x14ac:dyDescent="0.2">
      <c r="A75" s="371"/>
      <c r="B75" s="375">
        <v>13.47</v>
      </c>
      <c r="C75" s="413" t="s">
        <v>128</v>
      </c>
      <c r="D75" s="375"/>
      <c r="E75" s="373"/>
      <c r="F75" s="373"/>
      <c r="G75" s="373"/>
      <c r="H75" s="373"/>
      <c r="I75" s="373"/>
      <c r="J75" s="373"/>
      <c r="K75" s="373"/>
      <c r="L75" s="373"/>
      <c r="M75" s="373"/>
      <c r="N75" s="373"/>
      <c r="O75" s="373"/>
      <c r="P75" s="373"/>
      <c r="Q75" s="373"/>
      <c r="R75" s="373"/>
      <c r="S75" s="373"/>
      <c r="T75" s="373"/>
      <c r="U75" s="374">
        <f t="shared" si="18"/>
        <v>0</v>
      </c>
      <c r="V75" s="374"/>
      <c r="W75" s="374">
        <f t="shared" si="19"/>
        <v>0</v>
      </c>
      <c r="X75" s="375"/>
      <c r="Y75" s="376"/>
      <c r="Z75" s="408">
        <f t="shared" si="20"/>
        <v>0</v>
      </c>
      <c r="AA75" s="408">
        <f t="shared" si="21"/>
        <v>0</v>
      </c>
      <c r="AB75" s="408">
        <f t="shared" si="22"/>
        <v>0</v>
      </c>
      <c r="AC75" s="408">
        <f t="shared" si="23"/>
        <v>0</v>
      </c>
      <c r="AD75" s="408">
        <f t="shared" si="24"/>
        <v>0</v>
      </c>
      <c r="AE75" s="408">
        <f t="shared" si="25"/>
        <v>0</v>
      </c>
      <c r="AF75" s="408">
        <f t="shared" si="26"/>
        <v>0</v>
      </c>
      <c r="AG75" s="408">
        <f t="shared" si="27"/>
        <v>0</v>
      </c>
      <c r="AH75" s="408">
        <f t="shared" si="28"/>
        <v>0</v>
      </c>
      <c r="AI75" s="408">
        <f t="shared" si="29"/>
        <v>0</v>
      </c>
      <c r="AJ75" s="408">
        <f t="shared" si="30"/>
        <v>0</v>
      </c>
      <c r="AK75" s="408">
        <f t="shared" si="13"/>
        <v>0</v>
      </c>
      <c r="AL75" s="408">
        <f t="shared" si="31"/>
        <v>0</v>
      </c>
      <c r="AM75" s="408">
        <f t="shared" si="32"/>
        <v>0</v>
      </c>
      <c r="AN75" s="408">
        <f t="shared" si="33"/>
        <v>0</v>
      </c>
      <c r="AO75" s="408">
        <f t="shared" si="34"/>
        <v>0</v>
      </c>
    </row>
    <row r="76" spans="1:41" s="408" customFormat="1" ht="47.25" x14ac:dyDescent="0.2">
      <c r="A76" s="371"/>
      <c r="B76" s="375" t="s">
        <v>129</v>
      </c>
      <c r="C76" s="413" t="s">
        <v>130</v>
      </c>
      <c r="D76" s="375" t="s">
        <v>73</v>
      </c>
      <c r="E76" s="373">
        <f>'allied infrastructre finishig w'!H25</f>
        <v>11959.999999999998</v>
      </c>
      <c r="F76" s="373"/>
      <c r="G76" s="373"/>
      <c r="H76" s="373">
        <f>'WEIGH BRIDGE CABIN '!I125</f>
        <v>25.79</v>
      </c>
      <c r="I76" s="373"/>
      <c r="J76" s="373"/>
      <c r="K76" s="373"/>
      <c r="L76" s="373"/>
      <c r="M76" s="373"/>
      <c r="N76" s="373"/>
      <c r="O76" s="373"/>
      <c r="P76" s="373"/>
      <c r="Q76" s="373"/>
      <c r="R76" s="373"/>
      <c r="S76" s="373"/>
      <c r="T76" s="373"/>
      <c r="U76" s="374">
        <f t="shared" si="18"/>
        <v>11985.789999999999</v>
      </c>
      <c r="V76" s="374">
        <v>162.35</v>
      </c>
      <c r="W76" s="374">
        <f t="shared" si="19"/>
        <v>1945893.0064999997</v>
      </c>
      <c r="X76" s="375"/>
      <c r="Y76" s="376"/>
      <c r="Z76" s="408">
        <f t="shared" si="20"/>
        <v>1941705.9999999995</v>
      </c>
      <c r="AA76" s="408">
        <f t="shared" si="21"/>
        <v>0</v>
      </c>
      <c r="AB76" s="408">
        <f t="shared" si="22"/>
        <v>0</v>
      </c>
      <c r="AC76" s="408">
        <f t="shared" si="23"/>
        <v>4187.0064999999995</v>
      </c>
      <c r="AD76" s="408">
        <f t="shared" si="24"/>
        <v>0</v>
      </c>
      <c r="AE76" s="408">
        <f t="shared" si="25"/>
        <v>0</v>
      </c>
      <c r="AF76" s="408">
        <f t="shared" si="26"/>
        <v>0</v>
      </c>
      <c r="AG76" s="408">
        <f t="shared" si="27"/>
        <v>0</v>
      </c>
      <c r="AH76" s="408">
        <f t="shared" si="28"/>
        <v>0</v>
      </c>
      <c r="AI76" s="408">
        <f t="shared" si="29"/>
        <v>0</v>
      </c>
      <c r="AJ76" s="408">
        <f t="shared" si="30"/>
        <v>0</v>
      </c>
      <c r="AK76" s="408">
        <f t="shared" si="13"/>
        <v>0</v>
      </c>
      <c r="AL76" s="408">
        <f t="shared" si="31"/>
        <v>0</v>
      </c>
      <c r="AM76" s="408">
        <f t="shared" si="32"/>
        <v>0</v>
      </c>
      <c r="AN76" s="408">
        <f t="shared" si="33"/>
        <v>0</v>
      </c>
      <c r="AO76" s="408">
        <f t="shared" si="34"/>
        <v>0</v>
      </c>
    </row>
    <row r="77" spans="1:41" s="408" customFormat="1" ht="43.5" customHeight="1" x14ac:dyDescent="0.2">
      <c r="A77" s="371"/>
      <c r="B77" s="375">
        <v>13.41</v>
      </c>
      <c r="C77" s="413" t="s">
        <v>131</v>
      </c>
      <c r="D77" s="375"/>
      <c r="E77" s="373"/>
      <c r="F77" s="373"/>
      <c r="G77" s="373"/>
      <c r="H77" s="373"/>
      <c r="I77" s="373"/>
      <c r="J77" s="373"/>
      <c r="K77" s="373"/>
      <c r="L77" s="373"/>
      <c r="M77" s="373"/>
      <c r="N77" s="373"/>
      <c r="O77" s="373"/>
      <c r="P77" s="373"/>
      <c r="Q77" s="373"/>
      <c r="R77" s="373"/>
      <c r="S77" s="373"/>
      <c r="T77" s="373"/>
      <c r="U77" s="374">
        <f t="shared" si="18"/>
        <v>0</v>
      </c>
      <c r="V77" s="374"/>
      <c r="W77" s="374">
        <f t="shared" si="19"/>
        <v>0</v>
      </c>
      <c r="X77" s="375"/>
      <c r="Y77" s="376"/>
      <c r="Z77" s="408">
        <f t="shared" si="20"/>
        <v>0</v>
      </c>
      <c r="AA77" s="408">
        <f t="shared" si="21"/>
        <v>0</v>
      </c>
      <c r="AB77" s="408">
        <f t="shared" si="22"/>
        <v>0</v>
      </c>
      <c r="AC77" s="408">
        <f t="shared" si="23"/>
        <v>0</v>
      </c>
      <c r="AD77" s="408">
        <f t="shared" si="24"/>
        <v>0</v>
      </c>
      <c r="AE77" s="408">
        <f t="shared" si="25"/>
        <v>0</v>
      </c>
      <c r="AF77" s="408">
        <f t="shared" si="26"/>
        <v>0</v>
      </c>
      <c r="AG77" s="408">
        <f t="shared" si="27"/>
        <v>0</v>
      </c>
      <c r="AH77" s="408">
        <f t="shared" si="28"/>
        <v>0</v>
      </c>
      <c r="AI77" s="408">
        <f t="shared" si="29"/>
        <v>0</v>
      </c>
      <c r="AJ77" s="408">
        <f t="shared" si="30"/>
        <v>0</v>
      </c>
      <c r="AK77" s="408">
        <f t="shared" si="13"/>
        <v>0</v>
      </c>
      <c r="AL77" s="408">
        <f t="shared" si="31"/>
        <v>0</v>
      </c>
      <c r="AM77" s="408">
        <f t="shared" si="32"/>
        <v>0</v>
      </c>
      <c r="AN77" s="408">
        <f t="shared" si="33"/>
        <v>0</v>
      </c>
      <c r="AO77" s="408">
        <f t="shared" si="34"/>
        <v>0</v>
      </c>
    </row>
    <row r="78" spans="1:41" s="408" customFormat="1" ht="31.5" x14ac:dyDescent="0.2">
      <c r="A78" s="371"/>
      <c r="B78" s="375" t="s">
        <v>132</v>
      </c>
      <c r="C78" s="413" t="s">
        <v>133</v>
      </c>
      <c r="D78" s="375" t="s">
        <v>73</v>
      </c>
      <c r="E78" s="373"/>
      <c r="F78" s="373"/>
      <c r="G78" s="373"/>
      <c r="H78" s="373"/>
      <c r="I78" s="373"/>
      <c r="J78" s="373"/>
      <c r="K78" s="373"/>
      <c r="L78" s="373"/>
      <c r="M78" s="373"/>
      <c r="N78" s="373"/>
      <c r="O78" s="373"/>
      <c r="P78" s="373"/>
      <c r="Q78" s="373"/>
      <c r="R78" s="373"/>
      <c r="S78" s="373"/>
      <c r="T78" s="373"/>
      <c r="U78" s="374">
        <f t="shared" ref="U78:U147" si="35">SUM(E78:T78)</f>
        <v>0</v>
      </c>
      <c r="V78" s="374">
        <v>162.55000000000001</v>
      </c>
      <c r="W78" s="374">
        <f t="shared" ref="W78:W109" si="36">U78*V78</f>
        <v>0</v>
      </c>
      <c r="X78" s="375"/>
      <c r="Y78" s="376"/>
      <c r="Z78" s="408">
        <f t="shared" ref="Z78:Z109" si="37">V78*E78</f>
        <v>0</v>
      </c>
      <c r="AA78" s="408">
        <f t="shared" ref="AA78:AA109" si="38">V78*F78</f>
        <v>0</v>
      </c>
      <c r="AB78" s="408">
        <f t="shared" ref="AB78:AB109" si="39">V78*G78</f>
        <v>0</v>
      </c>
      <c r="AC78" s="408">
        <f t="shared" ref="AC78:AC109" si="40">V78*H78</f>
        <v>0</v>
      </c>
      <c r="AD78" s="408">
        <f t="shared" ref="AD78:AD109" si="41">V78*I78</f>
        <v>0</v>
      </c>
      <c r="AE78" s="408">
        <f t="shared" ref="AE78:AE109" si="42">V78*J78</f>
        <v>0</v>
      </c>
      <c r="AF78" s="408">
        <f t="shared" ref="AF78:AF109" si="43">V78*K78</f>
        <v>0</v>
      </c>
      <c r="AG78" s="408">
        <f t="shared" ref="AG78:AG109" si="44">V78*L78</f>
        <v>0</v>
      </c>
      <c r="AH78" s="408">
        <f t="shared" ref="AH78:AH109" si="45">V78*M78</f>
        <v>0</v>
      </c>
      <c r="AI78" s="408">
        <f t="shared" ref="AI78:AI109" si="46">V78*N78</f>
        <v>0</v>
      </c>
      <c r="AJ78" s="408">
        <f t="shared" ref="AJ78:AJ109" si="47">V78*O78</f>
        <v>0</v>
      </c>
      <c r="AK78" s="408">
        <f t="shared" ref="AK78:AK147" si="48">V78*P78</f>
        <v>0</v>
      </c>
      <c r="AL78" s="408">
        <f t="shared" ref="AL78:AL109" si="49">V78*Q78</f>
        <v>0</v>
      </c>
      <c r="AM78" s="408">
        <f t="shared" ref="AM78:AM109" si="50">V78*R78</f>
        <v>0</v>
      </c>
      <c r="AN78" s="408">
        <f t="shared" ref="AN78:AN109" si="51">V78*S78</f>
        <v>0</v>
      </c>
      <c r="AO78" s="408">
        <f t="shared" ref="AO78:AO109" si="52">V78*T78</f>
        <v>0</v>
      </c>
    </row>
    <row r="79" spans="1:41" s="408" customFormat="1" ht="31.5" x14ac:dyDescent="0.2">
      <c r="A79" s="371"/>
      <c r="B79" s="375" t="s">
        <v>134</v>
      </c>
      <c r="C79" s="413" t="s">
        <v>135</v>
      </c>
      <c r="D79" s="375"/>
      <c r="E79" s="373"/>
      <c r="F79" s="373"/>
      <c r="G79" s="373"/>
      <c r="H79" s="373"/>
      <c r="I79" s="373"/>
      <c r="J79" s="373"/>
      <c r="K79" s="373"/>
      <c r="L79" s="373"/>
      <c r="M79" s="373"/>
      <c r="N79" s="373"/>
      <c r="O79" s="373"/>
      <c r="P79" s="373"/>
      <c r="Q79" s="373"/>
      <c r="R79" s="373"/>
      <c r="S79" s="373"/>
      <c r="T79" s="373"/>
      <c r="U79" s="374">
        <f t="shared" si="35"/>
        <v>0</v>
      </c>
      <c r="V79" s="374"/>
      <c r="W79" s="374">
        <f t="shared" si="36"/>
        <v>0</v>
      </c>
      <c r="X79" s="375"/>
      <c r="Y79" s="376"/>
      <c r="Z79" s="408">
        <f t="shared" si="37"/>
        <v>0</v>
      </c>
      <c r="AA79" s="408">
        <f t="shared" si="38"/>
        <v>0</v>
      </c>
      <c r="AB79" s="408">
        <f t="shared" si="39"/>
        <v>0</v>
      </c>
      <c r="AC79" s="408">
        <f t="shared" si="40"/>
        <v>0</v>
      </c>
      <c r="AD79" s="408">
        <f t="shared" si="41"/>
        <v>0</v>
      </c>
      <c r="AE79" s="408">
        <f t="shared" si="42"/>
        <v>0</v>
      </c>
      <c r="AF79" s="408">
        <f t="shared" si="43"/>
        <v>0</v>
      </c>
      <c r="AG79" s="408">
        <f t="shared" si="44"/>
        <v>0</v>
      </c>
      <c r="AH79" s="408">
        <f t="shared" si="45"/>
        <v>0</v>
      </c>
      <c r="AI79" s="408">
        <f t="shared" si="46"/>
        <v>0</v>
      </c>
      <c r="AJ79" s="408">
        <f t="shared" si="47"/>
        <v>0</v>
      </c>
      <c r="AK79" s="408">
        <f t="shared" si="48"/>
        <v>0</v>
      </c>
      <c r="AL79" s="408">
        <f t="shared" si="49"/>
        <v>0</v>
      </c>
      <c r="AM79" s="408">
        <f t="shared" si="50"/>
        <v>0</v>
      </c>
      <c r="AN79" s="408">
        <f t="shared" si="51"/>
        <v>0</v>
      </c>
      <c r="AO79" s="408">
        <f t="shared" si="52"/>
        <v>0</v>
      </c>
    </row>
    <row r="80" spans="1:41" s="408" customFormat="1" ht="31.5" x14ac:dyDescent="0.2">
      <c r="A80" s="371"/>
      <c r="B80" s="375" t="s">
        <v>136</v>
      </c>
      <c r="C80" s="413" t="s">
        <v>137</v>
      </c>
      <c r="D80" s="375" t="s">
        <v>73</v>
      </c>
      <c r="E80" s="373"/>
      <c r="F80" s="373"/>
      <c r="G80" s="373"/>
      <c r="H80" s="373"/>
      <c r="I80" s="373">
        <f>'COOLING TOWER '!I206</f>
        <v>1063.0871999999999</v>
      </c>
      <c r="J80" s="373"/>
      <c r="K80" s="373"/>
      <c r="L80" s="373"/>
      <c r="M80" s="373"/>
      <c r="N80" s="373"/>
      <c r="O80" s="373"/>
      <c r="P80" s="373"/>
      <c r="Q80" s="373"/>
      <c r="R80" s="373"/>
      <c r="S80" s="373"/>
      <c r="T80" s="373"/>
      <c r="U80" s="374">
        <f t="shared" si="35"/>
        <v>1063.0871999999999</v>
      </c>
      <c r="V80" s="374">
        <v>154.44999999999999</v>
      </c>
      <c r="W80" s="374">
        <f t="shared" si="36"/>
        <v>164193.81803999998</v>
      </c>
      <c r="X80" s="375"/>
      <c r="Y80" s="376"/>
      <c r="Z80" s="408">
        <f t="shared" si="37"/>
        <v>0</v>
      </c>
      <c r="AA80" s="408">
        <f t="shared" si="38"/>
        <v>0</v>
      </c>
      <c r="AB80" s="408">
        <f t="shared" si="39"/>
        <v>0</v>
      </c>
      <c r="AC80" s="408">
        <f t="shared" si="40"/>
        <v>0</v>
      </c>
      <c r="AD80" s="408">
        <f t="shared" si="41"/>
        <v>164193.81803999998</v>
      </c>
      <c r="AE80" s="408">
        <f t="shared" si="42"/>
        <v>0</v>
      </c>
      <c r="AF80" s="408">
        <f t="shared" si="43"/>
        <v>0</v>
      </c>
      <c r="AG80" s="408">
        <f t="shared" si="44"/>
        <v>0</v>
      </c>
      <c r="AH80" s="408">
        <f t="shared" si="45"/>
        <v>0</v>
      </c>
      <c r="AI80" s="408">
        <f t="shared" si="46"/>
        <v>0</v>
      </c>
      <c r="AJ80" s="408">
        <f t="shared" si="47"/>
        <v>0</v>
      </c>
      <c r="AK80" s="408">
        <f t="shared" si="48"/>
        <v>0</v>
      </c>
      <c r="AL80" s="408">
        <f t="shared" si="49"/>
        <v>0</v>
      </c>
      <c r="AM80" s="408">
        <f t="shared" si="50"/>
        <v>0</v>
      </c>
      <c r="AN80" s="408">
        <f t="shared" si="51"/>
        <v>0</v>
      </c>
      <c r="AO80" s="408">
        <f t="shared" si="52"/>
        <v>0</v>
      </c>
    </row>
    <row r="81" spans="1:41" s="408" customFormat="1" ht="15.75" x14ac:dyDescent="0.25">
      <c r="A81" s="371"/>
      <c r="B81" s="427" t="s">
        <v>138</v>
      </c>
      <c r="C81" s="428" t="s">
        <v>139</v>
      </c>
      <c r="D81" s="427" t="s">
        <v>73</v>
      </c>
      <c r="E81" s="373"/>
      <c r="F81" s="373"/>
      <c r="G81" s="373"/>
      <c r="H81" s="373">
        <f>'WEIGH BRIDGE CABIN '!I133</f>
        <v>25.79</v>
      </c>
      <c r="I81" s="373"/>
      <c r="J81" s="373"/>
      <c r="K81" s="373"/>
      <c r="L81" s="373"/>
      <c r="M81" s="373"/>
      <c r="N81" s="373"/>
      <c r="O81" s="373"/>
      <c r="P81" s="373"/>
      <c r="Q81" s="373"/>
      <c r="R81" s="373"/>
      <c r="S81" s="373"/>
      <c r="T81" s="373"/>
      <c r="U81" s="374">
        <f t="shared" si="35"/>
        <v>25.79</v>
      </c>
      <c r="V81" s="374">
        <v>120</v>
      </c>
      <c r="W81" s="374">
        <f t="shared" si="36"/>
        <v>3094.7999999999997</v>
      </c>
      <c r="X81" s="375"/>
      <c r="Y81" s="376"/>
      <c r="Z81" s="408">
        <f t="shared" si="37"/>
        <v>0</v>
      </c>
      <c r="AA81" s="408">
        <f t="shared" si="38"/>
        <v>0</v>
      </c>
      <c r="AB81" s="408">
        <f t="shared" si="39"/>
        <v>0</v>
      </c>
      <c r="AC81" s="408">
        <f t="shared" si="40"/>
        <v>3094.7999999999997</v>
      </c>
      <c r="AD81" s="408">
        <f t="shared" si="41"/>
        <v>0</v>
      </c>
      <c r="AE81" s="408">
        <f t="shared" si="42"/>
        <v>0</v>
      </c>
      <c r="AF81" s="408">
        <f t="shared" si="43"/>
        <v>0</v>
      </c>
      <c r="AG81" s="408">
        <f t="shared" si="44"/>
        <v>0</v>
      </c>
      <c r="AH81" s="408">
        <f t="shared" si="45"/>
        <v>0</v>
      </c>
      <c r="AI81" s="408">
        <f t="shared" si="46"/>
        <v>0</v>
      </c>
      <c r="AJ81" s="408">
        <f t="shared" si="47"/>
        <v>0</v>
      </c>
      <c r="AK81" s="408">
        <f t="shared" si="48"/>
        <v>0</v>
      </c>
      <c r="AL81" s="408">
        <f t="shared" si="49"/>
        <v>0</v>
      </c>
      <c r="AM81" s="408">
        <f t="shared" si="50"/>
        <v>0</v>
      </c>
      <c r="AN81" s="408">
        <f t="shared" si="51"/>
        <v>0</v>
      </c>
      <c r="AO81" s="408">
        <f t="shared" si="52"/>
        <v>0</v>
      </c>
    </row>
    <row r="82" spans="1:41" s="408" customFormat="1" ht="15.75" x14ac:dyDescent="0.2">
      <c r="A82" s="371"/>
      <c r="B82" s="373">
        <v>13.6</v>
      </c>
      <c r="C82" s="413" t="s">
        <v>140</v>
      </c>
      <c r="D82" s="375"/>
      <c r="E82" s="373"/>
      <c r="F82" s="373"/>
      <c r="G82" s="373"/>
      <c r="H82" s="373"/>
      <c r="I82" s="373"/>
      <c r="J82" s="373"/>
      <c r="K82" s="373"/>
      <c r="L82" s="373"/>
      <c r="M82" s="373"/>
      <c r="N82" s="373"/>
      <c r="O82" s="373"/>
      <c r="P82" s="373"/>
      <c r="Q82" s="373"/>
      <c r="R82" s="373"/>
      <c r="S82" s="373"/>
      <c r="T82" s="373"/>
      <c r="U82" s="374">
        <f t="shared" si="35"/>
        <v>0</v>
      </c>
      <c r="V82" s="374"/>
      <c r="W82" s="374">
        <f t="shared" si="36"/>
        <v>0</v>
      </c>
      <c r="X82" s="375"/>
      <c r="Y82" s="376"/>
      <c r="Z82" s="408">
        <f t="shared" si="37"/>
        <v>0</v>
      </c>
      <c r="AA82" s="408">
        <f t="shared" si="38"/>
        <v>0</v>
      </c>
      <c r="AB82" s="408">
        <f t="shared" si="39"/>
        <v>0</v>
      </c>
      <c r="AC82" s="408">
        <f t="shared" si="40"/>
        <v>0</v>
      </c>
      <c r="AD82" s="408">
        <f t="shared" si="41"/>
        <v>0</v>
      </c>
      <c r="AE82" s="408">
        <f t="shared" si="42"/>
        <v>0</v>
      </c>
      <c r="AF82" s="408">
        <f t="shared" si="43"/>
        <v>0</v>
      </c>
      <c r="AG82" s="408">
        <f t="shared" si="44"/>
        <v>0</v>
      </c>
      <c r="AH82" s="408">
        <f t="shared" si="45"/>
        <v>0</v>
      </c>
      <c r="AI82" s="408">
        <f t="shared" si="46"/>
        <v>0</v>
      </c>
      <c r="AJ82" s="408">
        <f t="shared" si="47"/>
        <v>0</v>
      </c>
      <c r="AK82" s="408">
        <f t="shared" si="48"/>
        <v>0</v>
      </c>
      <c r="AL82" s="408">
        <f t="shared" si="49"/>
        <v>0</v>
      </c>
      <c r="AM82" s="408">
        <f t="shared" si="50"/>
        <v>0</v>
      </c>
      <c r="AN82" s="408">
        <f t="shared" si="51"/>
        <v>0</v>
      </c>
      <c r="AO82" s="408">
        <f t="shared" si="52"/>
        <v>0</v>
      </c>
    </row>
    <row r="83" spans="1:41" s="408" customFormat="1" ht="15.75" x14ac:dyDescent="0.2">
      <c r="A83" s="371"/>
      <c r="B83" s="373" t="s">
        <v>141</v>
      </c>
      <c r="C83" s="413" t="s">
        <v>142</v>
      </c>
      <c r="D83" s="375" t="s">
        <v>73</v>
      </c>
      <c r="E83" s="373"/>
      <c r="F83" s="373"/>
      <c r="G83" s="373"/>
      <c r="H83" s="373">
        <f>'WEIGH BRIDGE CABIN '!I135</f>
        <v>25.79</v>
      </c>
      <c r="I83" s="373"/>
      <c r="J83" s="373"/>
      <c r="K83" s="373"/>
      <c r="L83" s="373"/>
      <c r="M83" s="373"/>
      <c r="N83" s="373"/>
      <c r="O83" s="373"/>
      <c r="P83" s="373"/>
      <c r="Q83" s="373"/>
      <c r="R83" s="373"/>
      <c r="S83" s="373"/>
      <c r="T83" s="373"/>
      <c r="U83" s="374">
        <f t="shared" si="35"/>
        <v>25.79</v>
      </c>
      <c r="V83" s="374">
        <v>137.85</v>
      </c>
      <c r="W83" s="374">
        <f t="shared" si="36"/>
        <v>3555.1514999999999</v>
      </c>
      <c r="X83" s="375"/>
      <c r="Y83" s="376"/>
      <c r="Z83" s="408">
        <f t="shared" si="37"/>
        <v>0</v>
      </c>
      <c r="AA83" s="408">
        <f t="shared" si="38"/>
        <v>0</v>
      </c>
      <c r="AB83" s="408">
        <f t="shared" si="39"/>
        <v>0</v>
      </c>
      <c r="AC83" s="408">
        <f t="shared" si="40"/>
        <v>3555.1514999999999</v>
      </c>
      <c r="AD83" s="408">
        <f t="shared" si="41"/>
        <v>0</v>
      </c>
      <c r="AE83" s="408">
        <f t="shared" si="42"/>
        <v>0</v>
      </c>
      <c r="AF83" s="408">
        <f t="shared" si="43"/>
        <v>0</v>
      </c>
      <c r="AG83" s="408">
        <f t="shared" si="44"/>
        <v>0</v>
      </c>
      <c r="AH83" s="408">
        <f t="shared" si="45"/>
        <v>0</v>
      </c>
      <c r="AI83" s="408">
        <f t="shared" si="46"/>
        <v>0</v>
      </c>
      <c r="AJ83" s="408">
        <f t="shared" si="47"/>
        <v>0</v>
      </c>
      <c r="AK83" s="408">
        <f t="shared" si="48"/>
        <v>0</v>
      </c>
      <c r="AL83" s="408">
        <f t="shared" si="49"/>
        <v>0</v>
      </c>
      <c r="AM83" s="408">
        <f t="shared" si="50"/>
        <v>0</v>
      </c>
      <c r="AN83" s="408">
        <f t="shared" si="51"/>
        <v>0</v>
      </c>
      <c r="AO83" s="408">
        <f t="shared" si="52"/>
        <v>0</v>
      </c>
    </row>
    <row r="84" spans="1:41" s="408" customFormat="1" ht="31.5" x14ac:dyDescent="0.2">
      <c r="A84" s="371"/>
      <c r="B84" s="418">
        <v>13.8</v>
      </c>
      <c r="C84" s="413" t="s">
        <v>143</v>
      </c>
      <c r="D84" s="375" t="s">
        <v>73</v>
      </c>
      <c r="E84" s="373"/>
      <c r="F84" s="373"/>
      <c r="G84" s="373"/>
      <c r="H84" s="373">
        <f>'WEIGH BRIDGE CABIN '!I136</f>
        <v>25.79</v>
      </c>
      <c r="I84" s="373"/>
      <c r="J84" s="373"/>
      <c r="K84" s="373"/>
      <c r="L84" s="373"/>
      <c r="M84" s="373"/>
      <c r="N84" s="373"/>
      <c r="O84" s="373"/>
      <c r="P84" s="373"/>
      <c r="Q84" s="373"/>
      <c r="R84" s="373"/>
      <c r="S84" s="373"/>
      <c r="T84" s="373"/>
      <c r="U84" s="374">
        <f t="shared" si="35"/>
        <v>25.79</v>
      </c>
      <c r="V84" s="374">
        <v>123.85</v>
      </c>
      <c r="W84" s="374">
        <f t="shared" si="36"/>
        <v>3194.0914999999995</v>
      </c>
      <c r="X84" s="375"/>
      <c r="Y84" s="376"/>
      <c r="Z84" s="408">
        <f t="shared" si="37"/>
        <v>0</v>
      </c>
      <c r="AA84" s="408">
        <f t="shared" si="38"/>
        <v>0</v>
      </c>
      <c r="AB84" s="408">
        <f t="shared" si="39"/>
        <v>0</v>
      </c>
      <c r="AC84" s="408">
        <f t="shared" si="40"/>
        <v>3194.0914999999995</v>
      </c>
      <c r="AD84" s="408">
        <f t="shared" si="41"/>
        <v>0</v>
      </c>
      <c r="AE84" s="408">
        <f t="shared" si="42"/>
        <v>0</v>
      </c>
      <c r="AF84" s="408">
        <f t="shared" si="43"/>
        <v>0</v>
      </c>
      <c r="AG84" s="408">
        <f t="shared" si="44"/>
        <v>0</v>
      </c>
      <c r="AH84" s="408">
        <f t="shared" si="45"/>
        <v>0</v>
      </c>
      <c r="AI84" s="408">
        <f t="shared" si="46"/>
        <v>0</v>
      </c>
      <c r="AJ84" s="408">
        <f t="shared" si="47"/>
        <v>0</v>
      </c>
      <c r="AK84" s="408">
        <f t="shared" si="48"/>
        <v>0</v>
      </c>
      <c r="AL84" s="408">
        <f t="shared" si="49"/>
        <v>0</v>
      </c>
      <c r="AM84" s="408">
        <f t="shared" si="50"/>
        <v>0</v>
      </c>
      <c r="AN84" s="408">
        <f t="shared" si="51"/>
        <v>0</v>
      </c>
      <c r="AO84" s="408">
        <f t="shared" si="52"/>
        <v>0</v>
      </c>
    </row>
    <row r="85" spans="1:41" s="408" customFormat="1" ht="15.75" x14ac:dyDescent="0.2">
      <c r="A85" s="371"/>
      <c r="B85" s="375"/>
      <c r="C85" s="413"/>
      <c r="D85" s="375"/>
      <c r="E85" s="373"/>
      <c r="F85" s="373"/>
      <c r="G85" s="373"/>
      <c r="H85" s="373"/>
      <c r="I85" s="373"/>
      <c r="J85" s="373"/>
      <c r="K85" s="373"/>
      <c r="L85" s="373"/>
      <c r="M85" s="373"/>
      <c r="N85" s="373"/>
      <c r="O85" s="373"/>
      <c r="P85" s="373"/>
      <c r="Q85" s="373"/>
      <c r="R85" s="373"/>
      <c r="S85" s="373"/>
      <c r="T85" s="373"/>
      <c r="U85" s="374">
        <f t="shared" si="35"/>
        <v>0</v>
      </c>
      <c r="V85" s="374"/>
      <c r="W85" s="374">
        <f t="shared" si="36"/>
        <v>0</v>
      </c>
      <c r="X85" s="375"/>
      <c r="Y85" s="376"/>
      <c r="Z85" s="408">
        <f t="shared" si="37"/>
        <v>0</v>
      </c>
      <c r="AA85" s="408">
        <f t="shared" si="38"/>
        <v>0</v>
      </c>
      <c r="AB85" s="408">
        <f t="shared" si="39"/>
        <v>0</v>
      </c>
      <c r="AC85" s="408">
        <f t="shared" si="40"/>
        <v>0</v>
      </c>
      <c r="AD85" s="408">
        <f t="shared" si="41"/>
        <v>0</v>
      </c>
      <c r="AE85" s="408">
        <f t="shared" si="42"/>
        <v>0</v>
      </c>
      <c r="AF85" s="408">
        <f t="shared" si="43"/>
        <v>0</v>
      </c>
      <c r="AG85" s="408">
        <f t="shared" si="44"/>
        <v>0</v>
      </c>
      <c r="AH85" s="408">
        <f t="shared" si="45"/>
        <v>0</v>
      </c>
      <c r="AI85" s="408">
        <f t="shared" si="46"/>
        <v>0</v>
      </c>
      <c r="AJ85" s="408">
        <f t="shared" si="47"/>
        <v>0</v>
      </c>
      <c r="AK85" s="408">
        <f t="shared" si="48"/>
        <v>0</v>
      </c>
      <c r="AL85" s="408">
        <f t="shared" si="49"/>
        <v>0</v>
      </c>
      <c r="AM85" s="408">
        <f t="shared" si="50"/>
        <v>0</v>
      </c>
      <c r="AN85" s="408">
        <f t="shared" si="51"/>
        <v>0</v>
      </c>
      <c r="AO85" s="408">
        <f t="shared" si="52"/>
        <v>0</v>
      </c>
    </row>
    <row r="86" spans="1:41" s="408" customFormat="1" ht="157.5" x14ac:dyDescent="0.2">
      <c r="A86" s="371">
        <v>22</v>
      </c>
      <c r="B86" s="429">
        <v>22.22</v>
      </c>
      <c r="C86" s="413" t="s">
        <v>456</v>
      </c>
      <c r="D86" s="375" t="s">
        <v>112</v>
      </c>
      <c r="E86" s="373"/>
      <c r="F86" s="373">
        <f>'allied infrastructre finishig w'!H141</f>
        <v>2460.2400000000002</v>
      </c>
      <c r="G86" s="373"/>
      <c r="H86" s="373"/>
      <c r="I86" s="373"/>
      <c r="J86" s="373"/>
      <c r="K86" s="373"/>
      <c r="L86" s="373"/>
      <c r="M86" s="373"/>
      <c r="N86" s="373"/>
      <c r="O86" s="373"/>
      <c r="P86" s="373"/>
      <c r="Q86" s="373"/>
      <c r="R86" s="373"/>
      <c r="S86" s="373"/>
      <c r="T86" s="373"/>
      <c r="U86" s="374">
        <f t="shared" si="35"/>
        <v>2460.2400000000002</v>
      </c>
      <c r="V86" s="374">
        <v>332.4</v>
      </c>
      <c r="W86" s="374">
        <f t="shared" si="36"/>
        <v>817783.77600000007</v>
      </c>
      <c r="X86" s="375"/>
      <c r="Y86" s="376"/>
      <c r="Z86" s="408">
        <f t="shared" si="37"/>
        <v>0</v>
      </c>
      <c r="AA86" s="408">
        <f t="shared" si="38"/>
        <v>817783.77600000007</v>
      </c>
      <c r="AB86" s="408">
        <f t="shared" si="39"/>
        <v>0</v>
      </c>
      <c r="AC86" s="408">
        <f t="shared" si="40"/>
        <v>0</v>
      </c>
      <c r="AD86" s="408">
        <f t="shared" si="41"/>
        <v>0</v>
      </c>
      <c r="AE86" s="408">
        <f t="shared" si="42"/>
        <v>0</v>
      </c>
      <c r="AF86" s="408">
        <f t="shared" si="43"/>
        <v>0</v>
      </c>
      <c r="AG86" s="408">
        <f t="shared" si="44"/>
        <v>0</v>
      </c>
      <c r="AH86" s="408">
        <f t="shared" si="45"/>
        <v>0</v>
      </c>
      <c r="AI86" s="408">
        <f t="shared" si="46"/>
        <v>0</v>
      </c>
      <c r="AJ86" s="408">
        <f t="shared" si="47"/>
        <v>0</v>
      </c>
      <c r="AK86" s="408">
        <f t="shared" si="48"/>
        <v>0</v>
      </c>
      <c r="AL86" s="408">
        <f t="shared" si="49"/>
        <v>0</v>
      </c>
      <c r="AM86" s="408">
        <f t="shared" si="50"/>
        <v>0</v>
      </c>
      <c r="AN86" s="408">
        <f t="shared" si="51"/>
        <v>0</v>
      </c>
      <c r="AO86" s="408">
        <f t="shared" si="52"/>
        <v>0</v>
      </c>
    </row>
    <row r="87" spans="1:41" s="408" customFormat="1" ht="15.75" x14ac:dyDescent="0.2">
      <c r="A87" s="371"/>
      <c r="B87" s="430"/>
      <c r="C87" s="413"/>
      <c r="D87" s="375"/>
      <c r="E87" s="373"/>
      <c r="F87" s="373"/>
      <c r="G87" s="373"/>
      <c r="H87" s="373"/>
      <c r="I87" s="373"/>
      <c r="J87" s="373"/>
      <c r="K87" s="373"/>
      <c r="L87" s="373"/>
      <c r="M87" s="373"/>
      <c r="N87" s="373"/>
      <c r="O87" s="373"/>
      <c r="P87" s="373"/>
      <c r="Q87" s="373"/>
      <c r="R87" s="373"/>
      <c r="S87" s="373"/>
      <c r="T87" s="373"/>
      <c r="U87" s="374">
        <f t="shared" si="35"/>
        <v>0</v>
      </c>
      <c r="V87" s="374"/>
      <c r="W87" s="374">
        <f t="shared" si="36"/>
        <v>0</v>
      </c>
      <c r="X87" s="375"/>
      <c r="Y87" s="376"/>
      <c r="Z87" s="408">
        <f t="shared" si="37"/>
        <v>0</v>
      </c>
      <c r="AA87" s="408">
        <f t="shared" si="38"/>
        <v>0</v>
      </c>
      <c r="AB87" s="408">
        <f t="shared" si="39"/>
        <v>0</v>
      </c>
      <c r="AC87" s="408">
        <f t="shared" si="40"/>
        <v>0</v>
      </c>
      <c r="AD87" s="408">
        <f t="shared" si="41"/>
        <v>0</v>
      </c>
      <c r="AE87" s="408">
        <f t="shared" si="42"/>
        <v>0</v>
      </c>
      <c r="AF87" s="408">
        <f t="shared" si="43"/>
        <v>0</v>
      </c>
      <c r="AG87" s="408">
        <f t="shared" si="44"/>
        <v>0</v>
      </c>
      <c r="AH87" s="408">
        <f t="shared" si="45"/>
        <v>0</v>
      </c>
      <c r="AI87" s="408">
        <f t="shared" si="46"/>
        <v>0</v>
      </c>
      <c r="AJ87" s="408">
        <f t="shared" si="47"/>
        <v>0</v>
      </c>
      <c r="AK87" s="408">
        <f t="shared" si="48"/>
        <v>0</v>
      </c>
      <c r="AL87" s="408">
        <f t="shared" si="49"/>
        <v>0</v>
      </c>
      <c r="AM87" s="408">
        <f t="shared" si="50"/>
        <v>0</v>
      </c>
      <c r="AN87" s="408">
        <f t="shared" si="51"/>
        <v>0</v>
      </c>
      <c r="AO87" s="408">
        <f t="shared" si="52"/>
        <v>0</v>
      </c>
    </row>
    <row r="88" spans="1:41" s="408" customFormat="1" ht="47.25" x14ac:dyDescent="0.2">
      <c r="A88" s="371">
        <v>23</v>
      </c>
      <c r="B88" s="360">
        <v>22.4</v>
      </c>
      <c r="C88" s="372" t="s">
        <v>144</v>
      </c>
      <c r="D88" s="427"/>
      <c r="E88" s="373"/>
      <c r="F88" s="373"/>
      <c r="G88" s="373"/>
      <c r="H88" s="373"/>
      <c r="I88" s="373"/>
      <c r="J88" s="373"/>
      <c r="K88" s="373"/>
      <c r="L88" s="373"/>
      <c r="M88" s="373"/>
      <c r="N88" s="373"/>
      <c r="O88" s="373"/>
      <c r="P88" s="373"/>
      <c r="Q88" s="373"/>
      <c r="R88" s="373"/>
      <c r="S88" s="373"/>
      <c r="T88" s="373"/>
      <c r="U88" s="374">
        <f t="shared" si="35"/>
        <v>0</v>
      </c>
      <c r="V88" s="374"/>
      <c r="W88" s="374">
        <f t="shared" si="36"/>
        <v>0</v>
      </c>
      <c r="X88" s="375"/>
      <c r="Y88" s="376"/>
      <c r="Z88" s="408">
        <f t="shared" si="37"/>
        <v>0</v>
      </c>
      <c r="AA88" s="408">
        <f t="shared" si="38"/>
        <v>0</v>
      </c>
      <c r="AB88" s="408">
        <f t="shared" si="39"/>
        <v>0</v>
      </c>
      <c r="AC88" s="408">
        <f t="shared" si="40"/>
        <v>0</v>
      </c>
      <c r="AD88" s="408">
        <f t="shared" si="41"/>
        <v>0</v>
      </c>
      <c r="AE88" s="408">
        <f t="shared" si="42"/>
        <v>0</v>
      </c>
      <c r="AF88" s="408">
        <f t="shared" si="43"/>
        <v>0</v>
      </c>
      <c r="AG88" s="408">
        <f t="shared" si="44"/>
        <v>0</v>
      </c>
      <c r="AH88" s="408">
        <f t="shared" si="45"/>
        <v>0</v>
      </c>
      <c r="AI88" s="408">
        <f t="shared" si="46"/>
        <v>0</v>
      </c>
      <c r="AJ88" s="408">
        <f t="shared" si="47"/>
        <v>0</v>
      </c>
      <c r="AK88" s="408">
        <f t="shared" si="48"/>
        <v>0</v>
      </c>
      <c r="AL88" s="408">
        <f t="shared" si="49"/>
        <v>0</v>
      </c>
      <c r="AM88" s="408">
        <f t="shared" si="50"/>
        <v>0</v>
      </c>
      <c r="AN88" s="408">
        <f t="shared" si="51"/>
        <v>0</v>
      </c>
      <c r="AO88" s="408">
        <f t="shared" si="52"/>
        <v>0</v>
      </c>
    </row>
    <row r="89" spans="1:41" s="408" customFormat="1" ht="15.75" x14ac:dyDescent="0.2">
      <c r="A89" s="371"/>
      <c r="B89" s="360" t="s">
        <v>145</v>
      </c>
      <c r="C89" s="372" t="s">
        <v>146</v>
      </c>
      <c r="D89" s="427" t="s">
        <v>147</v>
      </c>
      <c r="E89" s="373"/>
      <c r="F89" s="373">
        <f>'allied infrastructre finishig w'!H144</f>
        <v>1732.5</v>
      </c>
      <c r="G89" s="373"/>
      <c r="H89" s="373"/>
      <c r="I89" s="373"/>
      <c r="J89" s="373"/>
      <c r="K89" s="373"/>
      <c r="L89" s="373"/>
      <c r="M89" s="373"/>
      <c r="N89" s="373"/>
      <c r="O89" s="373"/>
      <c r="P89" s="373"/>
      <c r="Q89" s="373"/>
      <c r="R89" s="373"/>
      <c r="S89" s="373"/>
      <c r="T89" s="373"/>
      <c r="U89" s="374">
        <f t="shared" si="35"/>
        <v>1732.5</v>
      </c>
      <c r="V89" s="374">
        <v>285.60000000000002</v>
      </c>
      <c r="W89" s="374">
        <f t="shared" si="36"/>
        <v>494802.00000000006</v>
      </c>
      <c r="X89" s="375"/>
      <c r="Y89" s="376"/>
      <c r="Z89" s="408">
        <f t="shared" si="37"/>
        <v>0</v>
      </c>
      <c r="AA89" s="408">
        <f t="shared" si="38"/>
        <v>494802.00000000006</v>
      </c>
      <c r="AB89" s="408">
        <f t="shared" si="39"/>
        <v>0</v>
      </c>
      <c r="AC89" s="408">
        <f t="shared" si="40"/>
        <v>0</v>
      </c>
      <c r="AD89" s="408">
        <f t="shared" si="41"/>
        <v>0</v>
      </c>
      <c r="AE89" s="408">
        <f t="shared" si="42"/>
        <v>0</v>
      </c>
      <c r="AF89" s="408">
        <f t="shared" si="43"/>
        <v>0</v>
      </c>
      <c r="AG89" s="408">
        <f t="shared" si="44"/>
        <v>0</v>
      </c>
      <c r="AH89" s="408">
        <f t="shared" si="45"/>
        <v>0</v>
      </c>
      <c r="AI89" s="408">
        <f t="shared" si="46"/>
        <v>0</v>
      </c>
      <c r="AJ89" s="408">
        <f t="shared" si="47"/>
        <v>0</v>
      </c>
      <c r="AK89" s="408">
        <f t="shared" si="48"/>
        <v>0</v>
      </c>
      <c r="AL89" s="408">
        <f t="shared" si="49"/>
        <v>0</v>
      </c>
      <c r="AM89" s="408">
        <f t="shared" si="50"/>
        <v>0</v>
      </c>
      <c r="AN89" s="408">
        <f t="shared" si="51"/>
        <v>0</v>
      </c>
      <c r="AO89" s="408">
        <f t="shared" si="52"/>
        <v>0</v>
      </c>
    </row>
    <row r="90" spans="1:41" s="408" customFormat="1" ht="15.75" x14ac:dyDescent="0.2">
      <c r="A90" s="371"/>
      <c r="B90" s="360"/>
      <c r="C90" s="372"/>
      <c r="D90" s="372"/>
      <c r="E90" s="373"/>
      <c r="F90" s="373"/>
      <c r="G90" s="373"/>
      <c r="H90" s="373"/>
      <c r="I90" s="373"/>
      <c r="J90" s="373"/>
      <c r="K90" s="373"/>
      <c r="L90" s="373"/>
      <c r="M90" s="373"/>
      <c r="N90" s="373"/>
      <c r="O90" s="373"/>
      <c r="P90" s="373"/>
      <c r="Q90" s="373"/>
      <c r="R90" s="373"/>
      <c r="S90" s="373"/>
      <c r="T90" s="373"/>
      <c r="U90" s="374">
        <f t="shared" si="35"/>
        <v>0</v>
      </c>
      <c r="V90" s="374"/>
      <c r="W90" s="374">
        <f t="shared" si="36"/>
        <v>0</v>
      </c>
      <c r="X90" s="375"/>
      <c r="Y90" s="376"/>
      <c r="Z90" s="408">
        <f t="shared" si="37"/>
        <v>0</v>
      </c>
      <c r="AA90" s="408">
        <f t="shared" si="38"/>
        <v>0</v>
      </c>
      <c r="AB90" s="408">
        <f t="shared" si="39"/>
        <v>0</v>
      </c>
      <c r="AC90" s="408">
        <f t="shared" si="40"/>
        <v>0</v>
      </c>
      <c r="AD90" s="408">
        <f t="shared" si="41"/>
        <v>0</v>
      </c>
      <c r="AE90" s="408">
        <f t="shared" si="42"/>
        <v>0</v>
      </c>
      <c r="AF90" s="408">
        <f t="shared" si="43"/>
        <v>0</v>
      </c>
      <c r="AG90" s="408">
        <f t="shared" si="44"/>
        <v>0</v>
      </c>
      <c r="AH90" s="408">
        <f t="shared" si="45"/>
        <v>0</v>
      </c>
      <c r="AI90" s="408">
        <f t="shared" si="46"/>
        <v>0</v>
      </c>
      <c r="AJ90" s="408">
        <f t="shared" si="47"/>
        <v>0</v>
      </c>
      <c r="AK90" s="408">
        <f t="shared" si="48"/>
        <v>0</v>
      </c>
      <c r="AL90" s="408">
        <f t="shared" si="49"/>
        <v>0</v>
      </c>
      <c r="AM90" s="408">
        <f t="shared" si="50"/>
        <v>0</v>
      </c>
      <c r="AN90" s="408">
        <f t="shared" si="51"/>
        <v>0</v>
      </c>
      <c r="AO90" s="408">
        <f t="shared" si="52"/>
        <v>0</v>
      </c>
    </row>
    <row r="91" spans="1:41" s="408" customFormat="1" ht="15.75" x14ac:dyDescent="0.2">
      <c r="A91" s="371"/>
      <c r="B91" s="360"/>
      <c r="C91" s="372"/>
      <c r="D91" s="372"/>
      <c r="E91" s="373"/>
      <c r="F91" s="373"/>
      <c r="G91" s="373"/>
      <c r="H91" s="373"/>
      <c r="I91" s="373"/>
      <c r="J91" s="373"/>
      <c r="K91" s="373"/>
      <c r="L91" s="373"/>
      <c r="M91" s="373"/>
      <c r="N91" s="373"/>
      <c r="O91" s="373"/>
      <c r="P91" s="373"/>
      <c r="Q91" s="373"/>
      <c r="R91" s="373"/>
      <c r="S91" s="373"/>
      <c r="T91" s="373"/>
      <c r="U91" s="374">
        <f t="shared" si="35"/>
        <v>0</v>
      </c>
      <c r="V91" s="374"/>
      <c r="W91" s="374">
        <f t="shared" si="36"/>
        <v>0</v>
      </c>
      <c r="X91" s="375"/>
      <c r="Y91" s="376"/>
      <c r="Z91" s="408">
        <f t="shared" si="37"/>
        <v>0</v>
      </c>
      <c r="AA91" s="408">
        <f t="shared" si="38"/>
        <v>0</v>
      </c>
      <c r="AB91" s="408">
        <f t="shared" si="39"/>
        <v>0</v>
      </c>
      <c r="AC91" s="408">
        <f t="shared" si="40"/>
        <v>0</v>
      </c>
      <c r="AD91" s="408">
        <f t="shared" si="41"/>
        <v>0</v>
      </c>
      <c r="AE91" s="408">
        <f t="shared" si="42"/>
        <v>0</v>
      </c>
      <c r="AF91" s="408">
        <f t="shared" si="43"/>
        <v>0</v>
      </c>
      <c r="AG91" s="408">
        <f t="shared" si="44"/>
        <v>0</v>
      </c>
      <c r="AH91" s="408">
        <f t="shared" si="45"/>
        <v>0</v>
      </c>
      <c r="AI91" s="408">
        <f t="shared" si="46"/>
        <v>0</v>
      </c>
      <c r="AJ91" s="408">
        <f t="shared" si="47"/>
        <v>0</v>
      </c>
      <c r="AK91" s="408">
        <f t="shared" si="48"/>
        <v>0</v>
      </c>
      <c r="AL91" s="408">
        <f t="shared" si="49"/>
        <v>0</v>
      </c>
      <c r="AM91" s="408">
        <f t="shared" si="50"/>
        <v>0</v>
      </c>
      <c r="AN91" s="408">
        <f t="shared" si="51"/>
        <v>0</v>
      </c>
      <c r="AO91" s="408">
        <f t="shared" si="52"/>
        <v>0</v>
      </c>
    </row>
    <row r="92" spans="1:41" s="408" customFormat="1" ht="63" x14ac:dyDescent="0.25">
      <c r="A92" s="371">
        <v>24</v>
      </c>
      <c r="B92" s="431">
        <v>26.35</v>
      </c>
      <c r="C92" s="372" t="s">
        <v>148</v>
      </c>
      <c r="D92" s="428"/>
      <c r="E92" s="373"/>
      <c r="F92" s="373"/>
      <c r="G92" s="373"/>
      <c r="H92" s="373"/>
      <c r="I92" s="373"/>
      <c r="J92" s="373"/>
      <c r="K92" s="373"/>
      <c r="L92" s="373"/>
      <c r="M92" s="373"/>
      <c r="N92" s="373"/>
      <c r="O92" s="373"/>
      <c r="P92" s="373"/>
      <c r="Q92" s="373"/>
      <c r="R92" s="373"/>
      <c r="S92" s="373"/>
      <c r="T92" s="373"/>
      <c r="U92" s="374">
        <f t="shared" si="35"/>
        <v>0</v>
      </c>
      <c r="V92" s="374"/>
      <c r="W92" s="374">
        <f t="shared" si="36"/>
        <v>0</v>
      </c>
      <c r="X92" s="375"/>
      <c r="Y92" s="376"/>
      <c r="Z92" s="408">
        <f t="shared" si="37"/>
        <v>0</v>
      </c>
      <c r="AA92" s="408">
        <f t="shared" si="38"/>
        <v>0</v>
      </c>
      <c r="AB92" s="408">
        <f t="shared" si="39"/>
        <v>0</v>
      </c>
      <c r="AC92" s="408">
        <f t="shared" si="40"/>
        <v>0</v>
      </c>
      <c r="AD92" s="408">
        <f t="shared" si="41"/>
        <v>0</v>
      </c>
      <c r="AE92" s="408">
        <f t="shared" si="42"/>
        <v>0</v>
      </c>
      <c r="AF92" s="408">
        <f t="shared" si="43"/>
        <v>0</v>
      </c>
      <c r="AG92" s="408">
        <f t="shared" si="44"/>
        <v>0</v>
      </c>
      <c r="AH92" s="408">
        <f t="shared" si="45"/>
        <v>0</v>
      </c>
      <c r="AI92" s="408">
        <f t="shared" si="46"/>
        <v>0</v>
      </c>
      <c r="AJ92" s="408">
        <f t="shared" si="47"/>
        <v>0</v>
      </c>
      <c r="AK92" s="408">
        <f t="shared" si="48"/>
        <v>0</v>
      </c>
      <c r="AL92" s="408">
        <f t="shared" si="49"/>
        <v>0</v>
      </c>
      <c r="AM92" s="408">
        <f t="shared" si="50"/>
        <v>0</v>
      </c>
      <c r="AN92" s="408">
        <f t="shared" si="51"/>
        <v>0</v>
      </c>
      <c r="AO92" s="408">
        <f t="shared" si="52"/>
        <v>0</v>
      </c>
    </row>
    <row r="93" spans="1:41" s="408" customFormat="1" ht="15.75" x14ac:dyDescent="0.2">
      <c r="A93" s="371"/>
      <c r="B93" s="431" t="s">
        <v>149</v>
      </c>
      <c r="C93" s="372" t="s">
        <v>150</v>
      </c>
      <c r="D93" s="427" t="s">
        <v>112</v>
      </c>
      <c r="E93" s="373"/>
      <c r="F93" s="373">
        <f>'allied infrastructre finishig w'!H148</f>
        <v>4236.768</v>
      </c>
      <c r="G93" s="373"/>
      <c r="H93" s="373"/>
      <c r="I93" s="373"/>
      <c r="J93" s="373"/>
      <c r="K93" s="373"/>
      <c r="L93" s="373"/>
      <c r="M93" s="373"/>
      <c r="N93" s="373"/>
      <c r="O93" s="373"/>
      <c r="P93" s="373"/>
      <c r="Q93" s="373"/>
      <c r="R93" s="373"/>
      <c r="S93" s="373"/>
      <c r="T93" s="373"/>
      <c r="U93" s="374">
        <f t="shared" si="35"/>
        <v>4236.768</v>
      </c>
      <c r="V93" s="374">
        <v>793.25</v>
      </c>
      <c r="W93" s="374">
        <f t="shared" si="36"/>
        <v>3360816.216</v>
      </c>
      <c r="X93" s="375"/>
      <c r="Y93" s="376"/>
      <c r="Z93" s="408">
        <f t="shared" si="37"/>
        <v>0</v>
      </c>
      <c r="AA93" s="408">
        <f t="shared" si="38"/>
        <v>3360816.216</v>
      </c>
      <c r="AB93" s="408">
        <f t="shared" si="39"/>
        <v>0</v>
      </c>
      <c r="AC93" s="408">
        <f t="shared" si="40"/>
        <v>0</v>
      </c>
      <c r="AD93" s="408">
        <f t="shared" si="41"/>
        <v>0</v>
      </c>
      <c r="AE93" s="408">
        <f t="shared" si="42"/>
        <v>0</v>
      </c>
      <c r="AF93" s="408">
        <f t="shared" si="43"/>
        <v>0</v>
      </c>
      <c r="AG93" s="408">
        <f t="shared" si="44"/>
        <v>0</v>
      </c>
      <c r="AH93" s="408">
        <f t="shared" si="45"/>
        <v>0</v>
      </c>
      <c r="AI93" s="408">
        <f t="shared" si="46"/>
        <v>0</v>
      </c>
      <c r="AJ93" s="408">
        <f t="shared" si="47"/>
        <v>0</v>
      </c>
      <c r="AK93" s="408">
        <f t="shared" si="48"/>
        <v>0</v>
      </c>
      <c r="AL93" s="408">
        <f t="shared" si="49"/>
        <v>0</v>
      </c>
      <c r="AM93" s="408">
        <f t="shared" si="50"/>
        <v>0</v>
      </c>
      <c r="AN93" s="408">
        <f t="shared" si="51"/>
        <v>0</v>
      </c>
      <c r="AO93" s="408">
        <f t="shared" si="52"/>
        <v>0</v>
      </c>
    </row>
    <row r="94" spans="1:41" s="408" customFormat="1" ht="63" x14ac:dyDescent="0.2">
      <c r="A94" s="371">
        <v>25</v>
      </c>
      <c r="B94" s="432">
        <v>16.73</v>
      </c>
      <c r="C94" s="433" t="s">
        <v>151</v>
      </c>
      <c r="D94" s="434" t="s">
        <v>73</v>
      </c>
      <c r="E94" s="373"/>
      <c r="F94" s="373">
        <f>'allied infrastructre finishig w'!H149</f>
        <v>2265.6000000000004</v>
      </c>
      <c r="G94" s="373"/>
      <c r="H94" s="373"/>
      <c r="I94" s="373"/>
      <c r="J94" s="373"/>
      <c r="K94" s="373"/>
      <c r="L94" s="373"/>
      <c r="M94" s="373"/>
      <c r="N94" s="373"/>
      <c r="O94" s="373"/>
      <c r="P94" s="373"/>
      <c r="Q94" s="373"/>
      <c r="R94" s="373"/>
      <c r="S94" s="373"/>
      <c r="T94" s="373"/>
      <c r="U94" s="374">
        <f t="shared" si="35"/>
        <v>2265.6000000000004</v>
      </c>
      <c r="V94" s="374">
        <v>542.85</v>
      </c>
      <c r="W94" s="374">
        <f t="shared" si="36"/>
        <v>1229880.9600000002</v>
      </c>
      <c r="X94" s="375"/>
      <c r="Y94" s="376"/>
      <c r="Z94" s="408">
        <f t="shared" si="37"/>
        <v>0</v>
      </c>
      <c r="AA94" s="408">
        <f t="shared" si="38"/>
        <v>1229880.9600000002</v>
      </c>
      <c r="AB94" s="408">
        <f t="shared" si="39"/>
        <v>0</v>
      </c>
      <c r="AC94" s="408">
        <f t="shared" si="40"/>
        <v>0</v>
      </c>
      <c r="AD94" s="408">
        <f t="shared" si="41"/>
        <v>0</v>
      </c>
      <c r="AE94" s="408">
        <f t="shared" si="42"/>
        <v>0</v>
      </c>
      <c r="AF94" s="408">
        <f t="shared" si="43"/>
        <v>0</v>
      </c>
      <c r="AG94" s="408">
        <f t="shared" si="44"/>
        <v>0</v>
      </c>
      <c r="AH94" s="408">
        <f t="shared" si="45"/>
        <v>0</v>
      </c>
      <c r="AI94" s="408">
        <f t="shared" si="46"/>
        <v>0</v>
      </c>
      <c r="AJ94" s="408">
        <f t="shared" si="47"/>
        <v>0</v>
      </c>
      <c r="AK94" s="408">
        <f t="shared" si="48"/>
        <v>0</v>
      </c>
      <c r="AL94" s="408">
        <f t="shared" si="49"/>
        <v>0</v>
      </c>
      <c r="AM94" s="408">
        <f t="shared" si="50"/>
        <v>0</v>
      </c>
      <c r="AN94" s="408">
        <f t="shared" si="51"/>
        <v>0</v>
      </c>
      <c r="AO94" s="408">
        <f t="shared" si="52"/>
        <v>0</v>
      </c>
    </row>
    <row r="95" spans="1:41" s="408" customFormat="1" ht="15.75" x14ac:dyDescent="0.2">
      <c r="A95" s="371">
        <v>26</v>
      </c>
      <c r="B95" s="432">
        <v>16.11</v>
      </c>
      <c r="C95" s="433" t="s">
        <v>152</v>
      </c>
      <c r="D95" s="434" t="s">
        <v>73</v>
      </c>
      <c r="E95" s="373"/>
      <c r="F95" s="373">
        <f>'allied infrastructre finishig w'!H153</f>
        <v>2456</v>
      </c>
      <c r="G95" s="373"/>
      <c r="H95" s="373"/>
      <c r="I95" s="373"/>
      <c r="J95" s="373"/>
      <c r="K95" s="373"/>
      <c r="L95" s="373"/>
      <c r="M95" s="373"/>
      <c r="N95" s="373"/>
      <c r="O95" s="373"/>
      <c r="P95" s="373"/>
      <c r="Q95" s="373"/>
      <c r="R95" s="373"/>
      <c r="S95" s="373"/>
      <c r="T95" s="373"/>
      <c r="U95" s="374">
        <f t="shared" si="35"/>
        <v>2456</v>
      </c>
      <c r="V95" s="374">
        <v>821.95</v>
      </c>
      <c r="W95" s="374">
        <f t="shared" si="36"/>
        <v>2018709.2000000002</v>
      </c>
      <c r="X95" s="375"/>
      <c r="Y95" s="376"/>
      <c r="Z95" s="408">
        <f t="shared" si="37"/>
        <v>0</v>
      </c>
      <c r="AA95" s="408">
        <f t="shared" si="38"/>
        <v>2018709.2000000002</v>
      </c>
      <c r="AB95" s="408">
        <f t="shared" si="39"/>
        <v>0</v>
      </c>
      <c r="AC95" s="408">
        <f t="shared" si="40"/>
        <v>0</v>
      </c>
      <c r="AD95" s="408">
        <f t="shared" si="41"/>
        <v>0</v>
      </c>
      <c r="AE95" s="408">
        <f t="shared" si="42"/>
        <v>0</v>
      </c>
      <c r="AF95" s="408">
        <f t="shared" si="43"/>
        <v>0</v>
      </c>
      <c r="AG95" s="408">
        <f t="shared" si="44"/>
        <v>0</v>
      </c>
      <c r="AH95" s="408">
        <f t="shared" si="45"/>
        <v>0</v>
      </c>
      <c r="AI95" s="408">
        <f t="shared" si="46"/>
        <v>0</v>
      </c>
      <c r="AJ95" s="408">
        <f t="shared" si="47"/>
        <v>0</v>
      </c>
      <c r="AK95" s="408">
        <f t="shared" si="48"/>
        <v>0</v>
      </c>
      <c r="AL95" s="408">
        <f t="shared" si="49"/>
        <v>0</v>
      </c>
      <c r="AM95" s="408">
        <f t="shared" si="50"/>
        <v>0</v>
      </c>
      <c r="AN95" s="408">
        <f t="shared" si="51"/>
        <v>0</v>
      </c>
      <c r="AO95" s="408">
        <f t="shared" si="52"/>
        <v>0</v>
      </c>
    </row>
    <row r="96" spans="1:41" s="408" customFormat="1" ht="15.75" x14ac:dyDescent="0.2">
      <c r="A96" s="371"/>
      <c r="B96" s="435"/>
      <c r="C96" s="417"/>
      <c r="D96" s="416"/>
      <c r="E96" s="373"/>
      <c r="F96" s="373"/>
      <c r="G96" s="373"/>
      <c r="H96" s="373"/>
      <c r="I96" s="373"/>
      <c r="J96" s="373"/>
      <c r="K96" s="373"/>
      <c r="L96" s="373"/>
      <c r="M96" s="373"/>
      <c r="N96" s="373"/>
      <c r="O96" s="373"/>
      <c r="P96" s="373"/>
      <c r="Q96" s="373"/>
      <c r="R96" s="373"/>
      <c r="S96" s="373"/>
      <c r="T96" s="373"/>
      <c r="U96" s="374">
        <f t="shared" si="35"/>
        <v>0</v>
      </c>
      <c r="V96" s="374"/>
      <c r="W96" s="374">
        <f t="shared" si="36"/>
        <v>0</v>
      </c>
      <c r="X96" s="375"/>
      <c r="Y96" s="376"/>
      <c r="Z96" s="408">
        <f t="shared" si="37"/>
        <v>0</v>
      </c>
      <c r="AA96" s="408">
        <f t="shared" si="38"/>
        <v>0</v>
      </c>
      <c r="AB96" s="408">
        <f t="shared" si="39"/>
        <v>0</v>
      </c>
      <c r="AC96" s="408">
        <f t="shared" si="40"/>
        <v>0</v>
      </c>
      <c r="AD96" s="408">
        <f t="shared" si="41"/>
        <v>0</v>
      </c>
      <c r="AE96" s="408">
        <f t="shared" si="42"/>
        <v>0</v>
      </c>
      <c r="AF96" s="408">
        <f t="shared" si="43"/>
        <v>0</v>
      </c>
      <c r="AG96" s="408">
        <f t="shared" si="44"/>
        <v>0</v>
      </c>
      <c r="AH96" s="408">
        <f t="shared" si="45"/>
        <v>0</v>
      </c>
      <c r="AI96" s="408">
        <f t="shared" si="46"/>
        <v>0</v>
      </c>
      <c r="AJ96" s="408">
        <f t="shared" si="47"/>
        <v>0</v>
      </c>
      <c r="AK96" s="408">
        <f t="shared" si="48"/>
        <v>0</v>
      </c>
      <c r="AL96" s="408">
        <f t="shared" si="49"/>
        <v>0</v>
      </c>
      <c r="AM96" s="408">
        <f t="shared" si="50"/>
        <v>0</v>
      </c>
      <c r="AN96" s="408">
        <f t="shared" si="51"/>
        <v>0</v>
      </c>
      <c r="AO96" s="408">
        <f t="shared" si="52"/>
        <v>0</v>
      </c>
    </row>
    <row r="97" spans="1:41" s="408" customFormat="1" ht="47.25" x14ac:dyDescent="0.2">
      <c r="A97" s="371">
        <v>27</v>
      </c>
      <c r="B97" s="436">
        <v>11.26</v>
      </c>
      <c r="C97" s="437" t="s">
        <v>153</v>
      </c>
      <c r="D97" s="438"/>
      <c r="E97" s="373"/>
      <c r="F97" s="373"/>
      <c r="G97" s="373"/>
      <c r="H97" s="373"/>
      <c r="I97" s="373"/>
      <c r="J97" s="373"/>
      <c r="K97" s="373"/>
      <c r="L97" s="373"/>
      <c r="M97" s="373"/>
      <c r="N97" s="373"/>
      <c r="O97" s="373"/>
      <c r="P97" s="373"/>
      <c r="Q97" s="373"/>
      <c r="R97" s="373"/>
      <c r="S97" s="373"/>
      <c r="T97" s="373"/>
      <c r="U97" s="374">
        <f t="shared" si="35"/>
        <v>0</v>
      </c>
      <c r="V97" s="374"/>
      <c r="W97" s="374">
        <f t="shared" si="36"/>
        <v>0</v>
      </c>
      <c r="X97" s="375"/>
      <c r="Y97" s="376"/>
      <c r="Z97" s="408">
        <f t="shared" si="37"/>
        <v>0</v>
      </c>
      <c r="AA97" s="408">
        <f t="shared" si="38"/>
        <v>0</v>
      </c>
      <c r="AB97" s="408">
        <f t="shared" si="39"/>
        <v>0</v>
      </c>
      <c r="AC97" s="408">
        <f t="shared" si="40"/>
        <v>0</v>
      </c>
      <c r="AD97" s="408">
        <f t="shared" si="41"/>
        <v>0</v>
      </c>
      <c r="AE97" s="408">
        <f t="shared" si="42"/>
        <v>0</v>
      </c>
      <c r="AF97" s="408">
        <f t="shared" si="43"/>
        <v>0</v>
      </c>
      <c r="AG97" s="408">
        <f t="shared" si="44"/>
        <v>0</v>
      </c>
      <c r="AH97" s="408">
        <f t="shared" si="45"/>
        <v>0</v>
      </c>
      <c r="AI97" s="408">
        <f t="shared" si="46"/>
        <v>0</v>
      </c>
      <c r="AJ97" s="408">
        <f t="shared" si="47"/>
        <v>0</v>
      </c>
      <c r="AK97" s="408">
        <f t="shared" si="48"/>
        <v>0</v>
      </c>
      <c r="AL97" s="408">
        <f t="shared" si="49"/>
        <v>0</v>
      </c>
      <c r="AM97" s="408">
        <f t="shared" si="50"/>
        <v>0</v>
      </c>
      <c r="AN97" s="408">
        <f t="shared" si="51"/>
        <v>0</v>
      </c>
      <c r="AO97" s="408">
        <f t="shared" si="52"/>
        <v>0</v>
      </c>
    </row>
    <row r="98" spans="1:41" s="408" customFormat="1" ht="15.75" x14ac:dyDescent="0.2">
      <c r="A98" s="371"/>
      <c r="B98" s="439" t="s">
        <v>154</v>
      </c>
      <c r="C98" s="437" t="s">
        <v>155</v>
      </c>
      <c r="D98" s="438" t="s">
        <v>73</v>
      </c>
      <c r="E98" s="373"/>
      <c r="F98" s="373"/>
      <c r="G98" s="373"/>
      <c r="H98" s="373"/>
      <c r="I98" s="373"/>
      <c r="J98" s="373"/>
      <c r="K98" s="373"/>
      <c r="L98" s="373"/>
      <c r="M98" s="373"/>
      <c r="N98" s="373"/>
      <c r="O98" s="373"/>
      <c r="P98" s="373"/>
      <c r="Q98" s="373"/>
      <c r="R98" s="373"/>
      <c r="S98" s="373"/>
      <c r="T98" s="373"/>
      <c r="U98" s="374">
        <f t="shared" si="35"/>
        <v>0</v>
      </c>
      <c r="V98" s="374">
        <v>1706.6</v>
      </c>
      <c r="W98" s="374">
        <f t="shared" si="36"/>
        <v>0</v>
      </c>
      <c r="X98" s="375"/>
      <c r="Y98" s="376"/>
      <c r="Z98" s="408">
        <f t="shared" si="37"/>
        <v>0</v>
      </c>
      <c r="AA98" s="408">
        <f t="shared" si="38"/>
        <v>0</v>
      </c>
      <c r="AB98" s="408">
        <f t="shared" si="39"/>
        <v>0</v>
      </c>
      <c r="AC98" s="408">
        <f t="shared" si="40"/>
        <v>0</v>
      </c>
      <c r="AD98" s="408">
        <f t="shared" si="41"/>
        <v>0</v>
      </c>
      <c r="AE98" s="408">
        <f t="shared" si="42"/>
        <v>0</v>
      </c>
      <c r="AF98" s="408">
        <f t="shared" si="43"/>
        <v>0</v>
      </c>
      <c r="AG98" s="408">
        <f t="shared" si="44"/>
        <v>0</v>
      </c>
      <c r="AH98" s="408">
        <f t="shared" si="45"/>
        <v>0</v>
      </c>
      <c r="AI98" s="408">
        <f t="shared" si="46"/>
        <v>0</v>
      </c>
      <c r="AJ98" s="408">
        <f t="shared" si="47"/>
        <v>0</v>
      </c>
      <c r="AK98" s="408">
        <f t="shared" si="48"/>
        <v>0</v>
      </c>
      <c r="AL98" s="408">
        <f t="shared" si="49"/>
        <v>0</v>
      </c>
      <c r="AM98" s="408">
        <f t="shared" si="50"/>
        <v>0</v>
      </c>
      <c r="AN98" s="408">
        <f t="shared" si="51"/>
        <v>0</v>
      </c>
      <c r="AO98" s="408">
        <f t="shared" si="52"/>
        <v>0</v>
      </c>
    </row>
    <row r="99" spans="1:41" s="408" customFormat="1" ht="47.25" x14ac:dyDescent="0.2">
      <c r="A99" s="371">
        <v>28</v>
      </c>
      <c r="B99" s="436">
        <v>11.27</v>
      </c>
      <c r="C99" s="437" t="s">
        <v>156</v>
      </c>
      <c r="D99" s="438" t="s">
        <v>73</v>
      </c>
      <c r="E99" s="373"/>
      <c r="F99" s="373"/>
      <c r="G99" s="373"/>
      <c r="H99" s="373"/>
      <c r="I99" s="373"/>
      <c r="J99" s="373"/>
      <c r="K99" s="373"/>
      <c r="L99" s="373"/>
      <c r="M99" s="373"/>
      <c r="N99" s="373"/>
      <c r="O99" s="373"/>
      <c r="P99" s="373"/>
      <c r="Q99" s="373"/>
      <c r="R99" s="373"/>
      <c r="S99" s="373"/>
      <c r="T99" s="373"/>
      <c r="U99" s="374">
        <f t="shared" si="35"/>
        <v>0</v>
      </c>
      <c r="V99" s="374">
        <v>2038.55</v>
      </c>
      <c r="W99" s="374">
        <f t="shared" si="36"/>
        <v>0</v>
      </c>
      <c r="X99" s="375"/>
      <c r="Y99" s="376"/>
      <c r="Z99" s="408">
        <f t="shared" si="37"/>
        <v>0</v>
      </c>
      <c r="AA99" s="408">
        <f t="shared" si="38"/>
        <v>0</v>
      </c>
      <c r="AB99" s="408">
        <f t="shared" si="39"/>
        <v>0</v>
      </c>
      <c r="AC99" s="408">
        <f t="shared" si="40"/>
        <v>0</v>
      </c>
      <c r="AD99" s="408">
        <f t="shared" si="41"/>
        <v>0</v>
      </c>
      <c r="AE99" s="408">
        <f t="shared" si="42"/>
        <v>0</v>
      </c>
      <c r="AF99" s="408">
        <f t="shared" si="43"/>
        <v>0</v>
      </c>
      <c r="AG99" s="408">
        <f t="shared" si="44"/>
        <v>0</v>
      </c>
      <c r="AH99" s="408">
        <f t="shared" si="45"/>
        <v>0</v>
      </c>
      <c r="AI99" s="408">
        <f t="shared" si="46"/>
        <v>0</v>
      </c>
      <c r="AJ99" s="408">
        <f t="shared" si="47"/>
        <v>0</v>
      </c>
      <c r="AK99" s="408">
        <f t="shared" si="48"/>
        <v>0</v>
      </c>
      <c r="AL99" s="408">
        <f t="shared" si="49"/>
        <v>0</v>
      </c>
      <c r="AM99" s="408">
        <f t="shared" si="50"/>
        <v>0</v>
      </c>
      <c r="AN99" s="408">
        <f t="shared" si="51"/>
        <v>0</v>
      </c>
      <c r="AO99" s="408">
        <f t="shared" si="52"/>
        <v>0</v>
      </c>
    </row>
    <row r="100" spans="1:41" s="408" customFormat="1" ht="94.5" x14ac:dyDescent="0.2">
      <c r="A100" s="371">
        <v>29</v>
      </c>
      <c r="B100" s="436">
        <v>11.56</v>
      </c>
      <c r="C100" s="437" t="s">
        <v>157</v>
      </c>
      <c r="D100" s="438"/>
      <c r="E100" s="373"/>
      <c r="F100" s="373"/>
      <c r="G100" s="373"/>
      <c r="H100" s="373"/>
      <c r="I100" s="373"/>
      <c r="J100" s="373"/>
      <c r="K100" s="373"/>
      <c r="L100" s="373"/>
      <c r="M100" s="373"/>
      <c r="N100" s="373"/>
      <c r="O100" s="373"/>
      <c r="P100" s="373"/>
      <c r="Q100" s="373"/>
      <c r="R100" s="373"/>
      <c r="S100" s="373"/>
      <c r="T100" s="373"/>
      <c r="U100" s="374">
        <f t="shared" si="35"/>
        <v>0</v>
      </c>
      <c r="V100" s="374"/>
      <c r="W100" s="374">
        <f t="shared" si="36"/>
        <v>0</v>
      </c>
      <c r="X100" s="375"/>
      <c r="Y100" s="376"/>
      <c r="Z100" s="408">
        <f t="shared" si="37"/>
        <v>0</v>
      </c>
      <c r="AA100" s="408">
        <f t="shared" si="38"/>
        <v>0</v>
      </c>
      <c r="AB100" s="408">
        <f t="shared" si="39"/>
        <v>0</v>
      </c>
      <c r="AC100" s="408">
        <f t="shared" si="40"/>
        <v>0</v>
      </c>
      <c r="AD100" s="408">
        <f t="shared" si="41"/>
        <v>0</v>
      </c>
      <c r="AE100" s="408">
        <f t="shared" si="42"/>
        <v>0</v>
      </c>
      <c r="AF100" s="408">
        <f t="shared" si="43"/>
        <v>0</v>
      </c>
      <c r="AG100" s="408">
        <f t="shared" si="44"/>
        <v>0</v>
      </c>
      <c r="AH100" s="408">
        <f t="shared" si="45"/>
        <v>0</v>
      </c>
      <c r="AI100" s="408">
        <f t="shared" si="46"/>
        <v>0</v>
      </c>
      <c r="AJ100" s="408">
        <f t="shared" si="47"/>
        <v>0</v>
      </c>
      <c r="AK100" s="408">
        <f t="shared" si="48"/>
        <v>0</v>
      </c>
      <c r="AL100" s="408">
        <f t="shared" si="49"/>
        <v>0</v>
      </c>
      <c r="AM100" s="408">
        <f t="shared" si="50"/>
        <v>0</v>
      </c>
      <c r="AN100" s="408">
        <f t="shared" si="51"/>
        <v>0</v>
      </c>
      <c r="AO100" s="408">
        <f t="shared" si="52"/>
        <v>0</v>
      </c>
    </row>
    <row r="101" spans="1:41" s="408" customFormat="1" ht="31.5" x14ac:dyDescent="0.2">
      <c r="A101" s="371"/>
      <c r="B101" s="436" t="s">
        <v>158</v>
      </c>
      <c r="C101" s="437" t="s">
        <v>159</v>
      </c>
      <c r="D101" s="438" t="s">
        <v>73</v>
      </c>
      <c r="E101" s="373"/>
      <c r="F101" s="373"/>
      <c r="G101" s="373"/>
      <c r="H101" s="373"/>
      <c r="I101" s="373"/>
      <c r="J101" s="373"/>
      <c r="K101" s="373"/>
      <c r="L101" s="373"/>
      <c r="M101" s="373"/>
      <c r="N101" s="373"/>
      <c r="O101" s="373"/>
      <c r="P101" s="373"/>
      <c r="Q101" s="373"/>
      <c r="R101" s="373"/>
      <c r="S101" s="373"/>
      <c r="T101" s="373"/>
      <c r="U101" s="374">
        <f t="shared" si="35"/>
        <v>0</v>
      </c>
      <c r="V101" s="374">
        <v>3908.8</v>
      </c>
      <c r="W101" s="374">
        <f t="shared" si="36"/>
        <v>0</v>
      </c>
      <c r="X101" s="375"/>
      <c r="Y101" s="376"/>
      <c r="Z101" s="408">
        <f t="shared" si="37"/>
        <v>0</v>
      </c>
      <c r="AA101" s="408">
        <f t="shared" si="38"/>
        <v>0</v>
      </c>
      <c r="AB101" s="408">
        <f t="shared" si="39"/>
        <v>0</v>
      </c>
      <c r="AC101" s="408">
        <f t="shared" si="40"/>
        <v>0</v>
      </c>
      <c r="AD101" s="408">
        <f t="shared" si="41"/>
        <v>0</v>
      </c>
      <c r="AE101" s="408">
        <f t="shared" si="42"/>
        <v>0</v>
      </c>
      <c r="AF101" s="408">
        <f t="shared" si="43"/>
        <v>0</v>
      </c>
      <c r="AG101" s="408">
        <f t="shared" si="44"/>
        <v>0</v>
      </c>
      <c r="AH101" s="408">
        <f t="shared" si="45"/>
        <v>0</v>
      </c>
      <c r="AI101" s="408">
        <f t="shared" si="46"/>
        <v>0</v>
      </c>
      <c r="AJ101" s="408">
        <f t="shared" si="47"/>
        <v>0</v>
      </c>
      <c r="AK101" s="408">
        <f t="shared" si="48"/>
        <v>0</v>
      </c>
      <c r="AL101" s="408">
        <f t="shared" si="49"/>
        <v>0</v>
      </c>
      <c r="AM101" s="408">
        <f t="shared" si="50"/>
        <v>0</v>
      </c>
      <c r="AN101" s="408">
        <f t="shared" si="51"/>
        <v>0</v>
      </c>
      <c r="AO101" s="408">
        <f t="shared" si="52"/>
        <v>0</v>
      </c>
    </row>
    <row r="102" spans="1:41" s="408" customFormat="1" ht="31.5" x14ac:dyDescent="0.2">
      <c r="A102" s="371">
        <v>30</v>
      </c>
      <c r="B102" s="440">
        <v>11.3</v>
      </c>
      <c r="C102" s="437" t="s">
        <v>160</v>
      </c>
      <c r="D102" s="438"/>
      <c r="E102" s="373"/>
      <c r="F102" s="373"/>
      <c r="G102" s="373"/>
      <c r="H102" s="373"/>
      <c r="I102" s="373"/>
      <c r="J102" s="373"/>
      <c r="K102" s="373"/>
      <c r="L102" s="373"/>
      <c r="M102" s="373"/>
      <c r="N102" s="373"/>
      <c r="O102" s="373"/>
      <c r="P102" s="373"/>
      <c r="Q102" s="373"/>
      <c r="R102" s="373"/>
      <c r="S102" s="373"/>
      <c r="T102" s="373"/>
      <c r="U102" s="374">
        <f t="shared" si="35"/>
        <v>0</v>
      </c>
      <c r="V102" s="374"/>
      <c r="W102" s="374">
        <f t="shared" si="36"/>
        <v>0</v>
      </c>
      <c r="X102" s="375"/>
      <c r="Y102" s="376"/>
      <c r="Z102" s="408">
        <f t="shared" si="37"/>
        <v>0</v>
      </c>
      <c r="AA102" s="408">
        <f t="shared" si="38"/>
        <v>0</v>
      </c>
      <c r="AB102" s="408">
        <f t="shared" si="39"/>
        <v>0</v>
      </c>
      <c r="AC102" s="408">
        <f t="shared" si="40"/>
        <v>0</v>
      </c>
      <c r="AD102" s="408">
        <f t="shared" si="41"/>
        <v>0</v>
      </c>
      <c r="AE102" s="408">
        <f t="shared" si="42"/>
        <v>0</v>
      </c>
      <c r="AF102" s="408">
        <f t="shared" si="43"/>
        <v>0</v>
      </c>
      <c r="AG102" s="408">
        <f t="shared" si="44"/>
        <v>0</v>
      </c>
      <c r="AH102" s="408">
        <f t="shared" si="45"/>
        <v>0</v>
      </c>
      <c r="AI102" s="408">
        <f t="shared" si="46"/>
        <v>0</v>
      </c>
      <c r="AJ102" s="408">
        <f t="shared" si="47"/>
        <v>0</v>
      </c>
      <c r="AK102" s="408">
        <f t="shared" si="48"/>
        <v>0</v>
      </c>
      <c r="AL102" s="408">
        <f t="shared" si="49"/>
        <v>0</v>
      </c>
      <c r="AM102" s="408">
        <f t="shared" si="50"/>
        <v>0</v>
      </c>
      <c r="AN102" s="408">
        <f t="shared" si="51"/>
        <v>0</v>
      </c>
      <c r="AO102" s="408">
        <f t="shared" si="52"/>
        <v>0</v>
      </c>
    </row>
    <row r="103" spans="1:41" s="408" customFormat="1" ht="15.75" x14ac:dyDescent="0.2">
      <c r="A103" s="371"/>
      <c r="B103" s="436" t="s">
        <v>161</v>
      </c>
      <c r="C103" s="437" t="s">
        <v>162</v>
      </c>
      <c r="D103" s="438" t="s">
        <v>73</v>
      </c>
      <c r="E103" s="373"/>
      <c r="F103" s="373"/>
      <c r="G103" s="373"/>
      <c r="H103" s="373"/>
      <c r="I103" s="373"/>
      <c r="J103" s="373"/>
      <c r="K103" s="373"/>
      <c r="L103" s="373"/>
      <c r="M103" s="373"/>
      <c r="N103" s="373"/>
      <c r="O103" s="373"/>
      <c r="P103" s="373"/>
      <c r="Q103" s="373"/>
      <c r="R103" s="373"/>
      <c r="S103" s="373"/>
      <c r="T103" s="373"/>
      <c r="U103" s="374">
        <f t="shared" si="35"/>
        <v>0</v>
      </c>
      <c r="V103" s="374">
        <v>545</v>
      </c>
      <c r="W103" s="374">
        <f t="shared" si="36"/>
        <v>0</v>
      </c>
      <c r="X103" s="375"/>
      <c r="Y103" s="376"/>
      <c r="Z103" s="408">
        <f t="shared" si="37"/>
        <v>0</v>
      </c>
      <c r="AA103" s="408">
        <f t="shared" si="38"/>
        <v>0</v>
      </c>
      <c r="AB103" s="408">
        <f t="shared" si="39"/>
        <v>0</v>
      </c>
      <c r="AC103" s="408">
        <f t="shared" si="40"/>
        <v>0</v>
      </c>
      <c r="AD103" s="408">
        <f t="shared" si="41"/>
        <v>0</v>
      </c>
      <c r="AE103" s="408">
        <f t="shared" si="42"/>
        <v>0</v>
      </c>
      <c r="AF103" s="408">
        <f t="shared" si="43"/>
        <v>0</v>
      </c>
      <c r="AG103" s="408">
        <f t="shared" si="44"/>
        <v>0</v>
      </c>
      <c r="AH103" s="408">
        <f t="shared" si="45"/>
        <v>0</v>
      </c>
      <c r="AI103" s="408">
        <f t="shared" si="46"/>
        <v>0</v>
      </c>
      <c r="AJ103" s="408">
        <f t="shared" si="47"/>
        <v>0</v>
      </c>
      <c r="AK103" s="408">
        <f t="shared" si="48"/>
        <v>0</v>
      </c>
      <c r="AL103" s="408">
        <f t="shared" si="49"/>
        <v>0</v>
      </c>
      <c r="AM103" s="408">
        <f t="shared" si="50"/>
        <v>0</v>
      </c>
      <c r="AN103" s="408">
        <f t="shared" si="51"/>
        <v>0</v>
      </c>
      <c r="AO103" s="408">
        <f t="shared" si="52"/>
        <v>0</v>
      </c>
    </row>
    <row r="104" spans="1:41" s="408" customFormat="1" ht="78.75" x14ac:dyDescent="0.2">
      <c r="A104" s="371">
        <v>31</v>
      </c>
      <c r="B104" s="440">
        <v>11.5</v>
      </c>
      <c r="C104" s="437" t="s">
        <v>163</v>
      </c>
      <c r="D104" s="438" t="s">
        <v>73</v>
      </c>
      <c r="E104" s="373"/>
      <c r="F104" s="373"/>
      <c r="G104" s="373"/>
      <c r="H104" s="373"/>
      <c r="I104" s="373"/>
      <c r="J104" s="373"/>
      <c r="K104" s="373"/>
      <c r="L104" s="373"/>
      <c r="M104" s="373"/>
      <c r="N104" s="373"/>
      <c r="O104" s="373"/>
      <c r="P104" s="373"/>
      <c r="Q104" s="373"/>
      <c r="R104" s="373"/>
      <c r="S104" s="373"/>
      <c r="T104" s="373"/>
      <c r="U104" s="374">
        <f t="shared" si="35"/>
        <v>0</v>
      </c>
      <c r="V104" s="374">
        <v>928.65</v>
      </c>
      <c r="W104" s="374">
        <f t="shared" si="36"/>
        <v>0</v>
      </c>
      <c r="X104" s="375"/>
      <c r="Y104" s="376"/>
      <c r="Z104" s="408">
        <f t="shared" si="37"/>
        <v>0</v>
      </c>
      <c r="AA104" s="408">
        <f t="shared" si="38"/>
        <v>0</v>
      </c>
      <c r="AB104" s="408">
        <f t="shared" si="39"/>
        <v>0</v>
      </c>
      <c r="AC104" s="408">
        <f t="shared" si="40"/>
        <v>0</v>
      </c>
      <c r="AD104" s="408">
        <f t="shared" si="41"/>
        <v>0</v>
      </c>
      <c r="AE104" s="408">
        <f t="shared" si="42"/>
        <v>0</v>
      </c>
      <c r="AF104" s="408">
        <f t="shared" si="43"/>
        <v>0</v>
      </c>
      <c r="AG104" s="408">
        <f t="shared" si="44"/>
        <v>0</v>
      </c>
      <c r="AH104" s="408">
        <f t="shared" si="45"/>
        <v>0</v>
      </c>
      <c r="AI104" s="408">
        <f t="shared" si="46"/>
        <v>0</v>
      </c>
      <c r="AJ104" s="408">
        <f t="shared" si="47"/>
        <v>0</v>
      </c>
      <c r="AK104" s="408">
        <f t="shared" si="48"/>
        <v>0</v>
      </c>
      <c r="AL104" s="408">
        <f t="shared" si="49"/>
        <v>0</v>
      </c>
      <c r="AM104" s="408">
        <f t="shared" si="50"/>
        <v>0</v>
      </c>
      <c r="AN104" s="408">
        <f t="shared" si="51"/>
        <v>0</v>
      </c>
      <c r="AO104" s="408">
        <f t="shared" si="52"/>
        <v>0</v>
      </c>
    </row>
    <row r="105" spans="1:41" s="408" customFormat="1" ht="15.75" x14ac:dyDescent="0.2">
      <c r="A105" s="371">
        <v>32</v>
      </c>
      <c r="B105" s="440">
        <v>5.3</v>
      </c>
      <c r="C105" s="437" t="s">
        <v>164</v>
      </c>
      <c r="D105" s="438" t="s">
        <v>147</v>
      </c>
      <c r="E105" s="373"/>
      <c r="F105" s="373"/>
      <c r="G105" s="373"/>
      <c r="H105" s="373"/>
      <c r="I105" s="373"/>
      <c r="J105" s="373"/>
      <c r="K105" s="373"/>
      <c r="L105" s="373"/>
      <c r="M105" s="373"/>
      <c r="N105" s="373"/>
      <c r="O105" s="373"/>
      <c r="P105" s="373"/>
      <c r="Q105" s="373"/>
      <c r="R105" s="373"/>
      <c r="S105" s="373"/>
      <c r="T105" s="373"/>
      <c r="U105" s="374">
        <f t="shared" si="35"/>
        <v>0</v>
      </c>
      <c r="V105" s="374">
        <v>64.7</v>
      </c>
      <c r="W105" s="374">
        <f t="shared" si="36"/>
        <v>0</v>
      </c>
      <c r="X105" s="375"/>
      <c r="Y105" s="376"/>
      <c r="Z105" s="408">
        <f t="shared" si="37"/>
        <v>0</v>
      </c>
      <c r="AA105" s="408">
        <f t="shared" si="38"/>
        <v>0</v>
      </c>
      <c r="AB105" s="408">
        <f t="shared" si="39"/>
        <v>0</v>
      </c>
      <c r="AC105" s="408">
        <f t="shared" si="40"/>
        <v>0</v>
      </c>
      <c r="AD105" s="408">
        <f t="shared" si="41"/>
        <v>0</v>
      </c>
      <c r="AE105" s="408">
        <f t="shared" si="42"/>
        <v>0</v>
      </c>
      <c r="AF105" s="408">
        <f t="shared" si="43"/>
        <v>0</v>
      </c>
      <c r="AG105" s="408">
        <f t="shared" si="44"/>
        <v>0</v>
      </c>
      <c r="AH105" s="408">
        <f t="shared" si="45"/>
        <v>0</v>
      </c>
      <c r="AI105" s="408">
        <f t="shared" si="46"/>
        <v>0</v>
      </c>
      <c r="AJ105" s="408">
        <f t="shared" si="47"/>
        <v>0</v>
      </c>
      <c r="AK105" s="408">
        <f t="shared" si="48"/>
        <v>0</v>
      </c>
      <c r="AL105" s="408">
        <f t="shared" si="49"/>
        <v>0</v>
      </c>
      <c r="AM105" s="408">
        <f t="shared" si="50"/>
        <v>0</v>
      </c>
      <c r="AN105" s="408">
        <f t="shared" si="51"/>
        <v>0</v>
      </c>
      <c r="AO105" s="408">
        <f t="shared" si="52"/>
        <v>0</v>
      </c>
    </row>
    <row r="106" spans="1:41" s="408" customFormat="1" ht="78.75" x14ac:dyDescent="0.2">
      <c r="A106" s="371">
        <v>33</v>
      </c>
      <c r="B106" s="436">
        <v>11.46</v>
      </c>
      <c r="C106" s="437" t="s">
        <v>165</v>
      </c>
      <c r="D106" s="438"/>
      <c r="E106" s="373"/>
      <c r="F106" s="373"/>
      <c r="G106" s="373"/>
      <c r="H106" s="373"/>
      <c r="I106" s="373"/>
      <c r="J106" s="373"/>
      <c r="K106" s="373"/>
      <c r="L106" s="373"/>
      <c r="M106" s="373"/>
      <c r="N106" s="373"/>
      <c r="O106" s="373"/>
      <c r="P106" s="373"/>
      <c r="Q106" s="373"/>
      <c r="R106" s="373"/>
      <c r="S106" s="373"/>
      <c r="T106" s="373"/>
      <c r="U106" s="374">
        <f t="shared" si="35"/>
        <v>0</v>
      </c>
      <c r="V106" s="374"/>
      <c r="W106" s="374">
        <f t="shared" si="36"/>
        <v>0</v>
      </c>
      <c r="X106" s="375"/>
      <c r="Y106" s="376"/>
      <c r="Z106" s="408">
        <f t="shared" si="37"/>
        <v>0</v>
      </c>
      <c r="AA106" s="408">
        <f t="shared" si="38"/>
        <v>0</v>
      </c>
      <c r="AB106" s="408">
        <f t="shared" si="39"/>
        <v>0</v>
      </c>
      <c r="AC106" s="408">
        <f t="shared" si="40"/>
        <v>0</v>
      </c>
      <c r="AD106" s="408">
        <f t="shared" si="41"/>
        <v>0</v>
      </c>
      <c r="AE106" s="408">
        <f t="shared" si="42"/>
        <v>0</v>
      </c>
      <c r="AF106" s="408">
        <f t="shared" si="43"/>
        <v>0</v>
      </c>
      <c r="AG106" s="408">
        <f t="shared" si="44"/>
        <v>0</v>
      </c>
      <c r="AH106" s="408">
        <f t="shared" si="45"/>
        <v>0</v>
      </c>
      <c r="AI106" s="408">
        <f t="shared" si="46"/>
        <v>0</v>
      </c>
      <c r="AJ106" s="408">
        <f t="shared" si="47"/>
        <v>0</v>
      </c>
      <c r="AK106" s="408">
        <f t="shared" si="48"/>
        <v>0</v>
      </c>
      <c r="AL106" s="408">
        <f t="shared" si="49"/>
        <v>0</v>
      </c>
      <c r="AM106" s="408">
        <f t="shared" si="50"/>
        <v>0</v>
      </c>
      <c r="AN106" s="408">
        <f t="shared" si="51"/>
        <v>0</v>
      </c>
      <c r="AO106" s="408">
        <f t="shared" si="52"/>
        <v>0</v>
      </c>
    </row>
    <row r="107" spans="1:41" s="408" customFormat="1" ht="15.75" x14ac:dyDescent="0.2">
      <c r="A107" s="371"/>
      <c r="B107" s="439" t="s">
        <v>166</v>
      </c>
      <c r="C107" s="437" t="s">
        <v>167</v>
      </c>
      <c r="D107" s="438" t="s">
        <v>73</v>
      </c>
      <c r="E107" s="373"/>
      <c r="F107" s="373"/>
      <c r="G107" s="373"/>
      <c r="H107" s="373"/>
      <c r="I107" s="373"/>
      <c r="J107" s="373"/>
      <c r="K107" s="373"/>
      <c r="L107" s="373"/>
      <c r="M107" s="373"/>
      <c r="N107" s="373"/>
      <c r="O107" s="373"/>
      <c r="P107" s="373"/>
      <c r="Q107" s="373"/>
      <c r="R107" s="373"/>
      <c r="S107" s="373"/>
      <c r="T107" s="373"/>
      <c r="U107" s="374">
        <f t="shared" si="35"/>
        <v>0</v>
      </c>
      <c r="V107" s="374">
        <v>1466.5</v>
      </c>
      <c r="W107" s="374">
        <f t="shared" si="36"/>
        <v>0</v>
      </c>
      <c r="X107" s="375"/>
      <c r="Y107" s="376"/>
      <c r="Z107" s="408">
        <f t="shared" si="37"/>
        <v>0</v>
      </c>
      <c r="AA107" s="408">
        <f t="shared" si="38"/>
        <v>0</v>
      </c>
      <c r="AB107" s="408">
        <f t="shared" si="39"/>
        <v>0</v>
      </c>
      <c r="AC107" s="408">
        <f t="shared" si="40"/>
        <v>0</v>
      </c>
      <c r="AD107" s="408">
        <f t="shared" si="41"/>
        <v>0</v>
      </c>
      <c r="AE107" s="408">
        <f t="shared" si="42"/>
        <v>0</v>
      </c>
      <c r="AF107" s="408">
        <f t="shared" si="43"/>
        <v>0</v>
      </c>
      <c r="AG107" s="408">
        <f t="shared" si="44"/>
        <v>0</v>
      </c>
      <c r="AH107" s="408">
        <f t="shared" si="45"/>
        <v>0</v>
      </c>
      <c r="AI107" s="408">
        <f t="shared" si="46"/>
        <v>0</v>
      </c>
      <c r="AJ107" s="408">
        <f t="shared" si="47"/>
        <v>0</v>
      </c>
      <c r="AK107" s="408">
        <f t="shared" si="48"/>
        <v>0</v>
      </c>
      <c r="AL107" s="408">
        <f t="shared" si="49"/>
        <v>0</v>
      </c>
      <c r="AM107" s="408">
        <f t="shared" si="50"/>
        <v>0</v>
      </c>
      <c r="AN107" s="408">
        <f t="shared" si="51"/>
        <v>0</v>
      </c>
      <c r="AO107" s="408">
        <f t="shared" si="52"/>
        <v>0</v>
      </c>
    </row>
    <row r="108" spans="1:41" s="408" customFormat="1" ht="78.75" x14ac:dyDescent="0.2">
      <c r="A108" s="371">
        <v>34</v>
      </c>
      <c r="B108" s="436">
        <v>8.31</v>
      </c>
      <c r="C108" s="437" t="s">
        <v>168</v>
      </c>
      <c r="D108" s="438" t="s">
        <v>73</v>
      </c>
      <c r="E108" s="373"/>
      <c r="F108" s="373"/>
      <c r="G108" s="373"/>
      <c r="H108" s="373"/>
      <c r="I108" s="373"/>
      <c r="J108" s="373"/>
      <c r="K108" s="373"/>
      <c r="L108" s="373"/>
      <c r="M108" s="373"/>
      <c r="N108" s="373"/>
      <c r="O108" s="373"/>
      <c r="P108" s="373"/>
      <c r="Q108" s="373"/>
      <c r="R108" s="373"/>
      <c r="S108" s="373"/>
      <c r="T108" s="373"/>
      <c r="U108" s="374">
        <f t="shared" si="35"/>
        <v>0</v>
      </c>
      <c r="V108" s="374">
        <v>1063.45</v>
      </c>
      <c r="W108" s="374">
        <f t="shared" si="36"/>
        <v>0</v>
      </c>
      <c r="X108" s="375"/>
      <c r="Y108" s="376"/>
      <c r="Z108" s="408">
        <f t="shared" si="37"/>
        <v>0</v>
      </c>
      <c r="AA108" s="408">
        <f t="shared" si="38"/>
        <v>0</v>
      </c>
      <c r="AB108" s="408">
        <f t="shared" si="39"/>
        <v>0</v>
      </c>
      <c r="AC108" s="408">
        <f t="shared" si="40"/>
        <v>0</v>
      </c>
      <c r="AD108" s="408">
        <f t="shared" si="41"/>
        <v>0</v>
      </c>
      <c r="AE108" s="408">
        <f t="shared" si="42"/>
        <v>0</v>
      </c>
      <c r="AF108" s="408">
        <f t="shared" si="43"/>
        <v>0</v>
      </c>
      <c r="AG108" s="408">
        <f t="shared" si="44"/>
        <v>0</v>
      </c>
      <c r="AH108" s="408">
        <f t="shared" si="45"/>
        <v>0</v>
      </c>
      <c r="AI108" s="408">
        <f t="shared" si="46"/>
        <v>0</v>
      </c>
      <c r="AJ108" s="408">
        <f t="shared" si="47"/>
        <v>0</v>
      </c>
      <c r="AK108" s="408">
        <f t="shared" si="48"/>
        <v>0</v>
      </c>
      <c r="AL108" s="408">
        <f t="shared" si="49"/>
        <v>0</v>
      </c>
      <c r="AM108" s="408">
        <f t="shared" si="50"/>
        <v>0</v>
      </c>
      <c r="AN108" s="408">
        <f t="shared" si="51"/>
        <v>0</v>
      </c>
      <c r="AO108" s="408">
        <f t="shared" si="52"/>
        <v>0</v>
      </c>
    </row>
    <row r="109" spans="1:41" s="408" customFormat="1" ht="31.5" x14ac:dyDescent="0.2">
      <c r="A109" s="371">
        <v>35</v>
      </c>
      <c r="B109" s="439" t="s">
        <v>70</v>
      </c>
      <c r="C109" s="437" t="s">
        <v>169</v>
      </c>
      <c r="D109" s="438" t="s">
        <v>73</v>
      </c>
      <c r="E109" s="373"/>
      <c r="F109" s="373"/>
      <c r="G109" s="373"/>
      <c r="H109" s="373"/>
      <c r="I109" s="373"/>
      <c r="J109" s="373"/>
      <c r="K109" s="373"/>
      <c r="L109" s="373"/>
      <c r="M109" s="373"/>
      <c r="N109" s="373"/>
      <c r="O109" s="373"/>
      <c r="P109" s="373"/>
      <c r="Q109" s="373"/>
      <c r="R109" s="373"/>
      <c r="S109" s="373"/>
      <c r="T109" s="373"/>
      <c r="U109" s="374">
        <f t="shared" si="35"/>
        <v>0</v>
      </c>
      <c r="V109" s="374">
        <v>2150</v>
      </c>
      <c r="W109" s="374">
        <f t="shared" si="36"/>
        <v>0</v>
      </c>
      <c r="X109" s="375"/>
      <c r="Y109" s="376"/>
      <c r="Z109" s="408">
        <f t="shared" si="37"/>
        <v>0</v>
      </c>
      <c r="AA109" s="408">
        <f t="shared" si="38"/>
        <v>0</v>
      </c>
      <c r="AB109" s="408">
        <f t="shared" si="39"/>
        <v>0</v>
      </c>
      <c r="AC109" s="408">
        <f t="shared" si="40"/>
        <v>0</v>
      </c>
      <c r="AD109" s="408">
        <f t="shared" si="41"/>
        <v>0</v>
      </c>
      <c r="AE109" s="408">
        <f t="shared" si="42"/>
        <v>0</v>
      </c>
      <c r="AF109" s="408">
        <f t="shared" si="43"/>
        <v>0</v>
      </c>
      <c r="AG109" s="408">
        <f t="shared" si="44"/>
        <v>0</v>
      </c>
      <c r="AH109" s="408">
        <f t="shared" si="45"/>
        <v>0</v>
      </c>
      <c r="AI109" s="408">
        <f t="shared" si="46"/>
        <v>0</v>
      </c>
      <c r="AJ109" s="408">
        <f t="shared" si="47"/>
        <v>0</v>
      </c>
      <c r="AK109" s="408">
        <f t="shared" si="48"/>
        <v>0</v>
      </c>
      <c r="AL109" s="408">
        <f t="shared" si="49"/>
        <v>0</v>
      </c>
      <c r="AM109" s="408">
        <f t="shared" si="50"/>
        <v>0</v>
      </c>
      <c r="AN109" s="408">
        <f t="shared" si="51"/>
        <v>0</v>
      </c>
      <c r="AO109" s="408">
        <f t="shared" si="52"/>
        <v>0</v>
      </c>
    </row>
    <row r="110" spans="1:41" s="408" customFormat="1" ht="15.75" x14ac:dyDescent="0.2">
      <c r="A110" s="371">
        <v>36</v>
      </c>
      <c r="B110" s="439" t="s">
        <v>70</v>
      </c>
      <c r="C110" s="437" t="s">
        <v>170</v>
      </c>
      <c r="D110" s="438" t="s">
        <v>73</v>
      </c>
      <c r="E110" s="373"/>
      <c r="F110" s="373"/>
      <c r="G110" s="373"/>
      <c r="H110" s="373"/>
      <c r="I110" s="373"/>
      <c r="J110" s="373"/>
      <c r="K110" s="373"/>
      <c r="L110" s="373"/>
      <c r="M110" s="373"/>
      <c r="N110" s="373"/>
      <c r="O110" s="373"/>
      <c r="P110" s="373"/>
      <c r="Q110" s="373"/>
      <c r="R110" s="373"/>
      <c r="S110" s="373"/>
      <c r="T110" s="373"/>
      <c r="U110" s="374">
        <f t="shared" si="35"/>
        <v>0</v>
      </c>
      <c r="V110" s="374">
        <v>450</v>
      </c>
      <c r="W110" s="374">
        <f t="shared" ref="W110:W147" si="53">U110*V110</f>
        <v>0</v>
      </c>
      <c r="X110" s="375"/>
      <c r="Y110" s="376"/>
      <c r="Z110" s="408">
        <f t="shared" ref="Z110:Z147" si="54">V110*E110</f>
        <v>0</v>
      </c>
      <c r="AA110" s="408">
        <f t="shared" ref="AA110:AA147" si="55">V110*F110</f>
        <v>0</v>
      </c>
      <c r="AB110" s="408">
        <f t="shared" ref="AB110:AB147" si="56">V110*G110</f>
        <v>0</v>
      </c>
      <c r="AC110" s="408">
        <f t="shared" ref="AC110:AC147" si="57">V110*H110</f>
        <v>0</v>
      </c>
      <c r="AD110" s="408">
        <f t="shared" ref="AD110:AD147" si="58">V110*I110</f>
        <v>0</v>
      </c>
      <c r="AE110" s="408">
        <f t="shared" ref="AE110:AE147" si="59">V110*J110</f>
        <v>0</v>
      </c>
      <c r="AF110" s="408">
        <f t="shared" ref="AF110:AF147" si="60">V110*K110</f>
        <v>0</v>
      </c>
      <c r="AG110" s="408">
        <f t="shared" ref="AG110:AG147" si="61">V110*L110</f>
        <v>0</v>
      </c>
      <c r="AH110" s="408">
        <f t="shared" ref="AH110:AH147" si="62">V110*M110</f>
        <v>0</v>
      </c>
      <c r="AI110" s="408">
        <f t="shared" ref="AI110:AI147" si="63">V110*N110</f>
        <v>0</v>
      </c>
      <c r="AJ110" s="408">
        <f t="shared" ref="AJ110:AJ147" si="64">V110*O110</f>
        <v>0</v>
      </c>
      <c r="AK110" s="408">
        <f t="shared" si="48"/>
        <v>0</v>
      </c>
      <c r="AL110" s="408">
        <f t="shared" ref="AL110:AL147" si="65">V110*Q110</f>
        <v>0</v>
      </c>
      <c r="AM110" s="408">
        <f t="shared" ref="AM110:AM147" si="66">V110*R110</f>
        <v>0</v>
      </c>
      <c r="AN110" s="408">
        <f t="shared" ref="AN110:AN147" si="67">V110*S110</f>
        <v>0</v>
      </c>
      <c r="AO110" s="408">
        <f t="shared" ref="AO110:AO147" si="68">V110*T110</f>
        <v>0</v>
      </c>
    </row>
    <row r="111" spans="1:41" s="408" customFormat="1" ht="31.5" x14ac:dyDescent="0.2">
      <c r="A111" s="371">
        <v>37</v>
      </c>
      <c r="B111" s="439" t="s">
        <v>70</v>
      </c>
      <c r="C111" s="441" t="s">
        <v>171</v>
      </c>
      <c r="D111" s="438"/>
      <c r="E111" s="373"/>
      <c r="F111" s="373"/>
      <c r="G111" s="373"/>
      <c r="H111" s="373"/>
      <c r="I111" s="373"/>
      <c r="J111" s="373"/>
      <c r="K111" s="373"/>
      <c r="L111" s="373"/>
      <c r="M111" s="373"/>
      <c r="N111" s="373"/>
      <c r="O111" s="373"/>
      <c r="P111" s="373"/>
      <c r="Q111" s="373"/>
      <c r="R111" s="373"/>
      <c r="S111" s="373"/>
      <c r="T111" s="373"/>
      <c r="U111" s="374">
        <f t="shared" si="35"/>
        <v>0</v>
      </c>
      <c r="V111" s="374"/>
      <c r="W111" s="374">
        <f t="shared" si="53"/>
        <v>0</v>
      </c>
      <c r="X111" s="375"/>
      <c r="Y111" s="376"/>
      <c r="Z111" s="408">
        <f t="shared" si="54"/>
        <v>0</v>
      </c>
      <c r="AA111" s="408">
        <f t="shared" si="55"/>
        <v>0</v>
      </c>
      <c r="AB111" s="408">
        <f t="shared" si="56"/>
        <v>0</v>
      </c>
      <c r="AC111" s="408">
        <f t="shared" si="57"/>
        <v>0</v>
      </c>
      <c r="AD111" s="408">
        <f t="shared" si="58"/>
        <v>0</v>
      </c>
      <c r="AE111" s="408">
        <f t="shared" si="59"/>
        <v>0</v>
      </c>
      <c r="AF111" s="408">
        <f t="shared" si="60"/>
        <v>0</v>
      </c>
      <c r="AG111" s="408">
        <f t="shared" si="61"/>
        <v>0</v>
      </c>
      <c r="AH111" s="408">
        <f t="shared" si="62"/>
        <v>0</v>
      </c>
      <c r="AI111" s="408">
        <f t="shared" si="63"/>
        <v>0</v>
      </c>
      <c r="AJ111" s="408">
        <f t="shared" si="64"/>
        <v>0</v>
      </c>
      <c r="AK111" s="408">
        <f t="shared" si="48"/>
        <v>0</v>
      </c>
      <c r="AL111" s="408">
        <f t="shared" si="65"/>
        <v>0</v>
      </c>
      <c r="AM111" s="408">
        <f t="shared" si="66"/>
        <v>0</v>
      </c>
      <c r="AN111" s="408">
        <f t="shared" si="67"/>
        <v>0</v>
      </c>
      <c r="AO111" s="408">
        <f t="shared" si="68"/>
        <v>0</v>
      </c>
    </row>
    <row r="112" spans="1:41" s="408" customFormat="1" ht="15.75" x14ac:dyDescent="0.2">
      <c r="A112" s="371"/>
      <c r="B112" s="439"/>
      <c r="C112" s="441" t="s">
        <v>172</v>
      </c>
      <c r="D112" s="442" t="s">
        <v>173</v>
      </c>
      <c r="E112" s="373"/>
      <c r="F112" s="373"/>
      <c r="G112" s="373"/>
      <c r="H112" s="373"/>
      <c r="I112" s="373"/>
      <c r="J112" s="373"/>
      <c r="K112" s="373"/>
      <c r="L112" s="373"/>
      <c r="M112" s="373"/>
      <c r="N112" s="373"/>
      <c r="O112" s="373"/>
      <c r="P112" s="373"/>
      <c r="Q112" s="373"/>
      <c r="R112" s="373"/>
      <c r="S112" s="373"/>
      <c r="T112" s="373"/>
      <c r="U112" s="374">
        <f t="shared" si="35"/>
        <v>0</v>
      </c>
      <c r="V112" s="374">
        <v>550</v>
      </c>
      <c r="W112" s="374">
        <f t="shared" si="53"/>
        <v>0</v>
      </c>
      <c r="X112" s="375"/>
      <c r="Y112" s="376"/>
      <c r="Z112" s="408">
        <f t="shared" si="54"/>
        <v>0</v>
      </c>
      <c r="AA112" s="408">
        <f t="shared" si="55"/>
        <v>0</v>
      </c>
      <c r="AB112" s="408">
        <f t="shared" si="56"/>
        <v>0</v>
      </c>
      <c r="AC112" s="408">
        <f t="shared" si="57"/>
        <v>0</v>
      </c>
      <c r="AD112" s="408">
        <f t="shared" si="58"/>
        <v>0</v>
      </c>
      <c r="AE112" s="408">
        <f t="shared" si="59"/>
        <v>0</v>
      </c>
      <c r="AF112" s="408">
        <f t="shared" si="60"/>
        <v>0</v>
      </c>
      <c r="AG112" s="408">
        <f t="shared" si="61"/>
        <v>0</v>
      </c>
      <c r="AH112" s="408">
        <f t="shared" si="62"/>
        <v>0</v>
      </c>
      <c r="AI112" s="408">
        <f t="shared" si="63"/>
        <v>0</v>
      </c>
      <c r="AJ112" s="408">
        <f t="shared" si="64"/>
        <v>0</v>
      </c>
      <c r="AK112" s="408">
        <f t="shared" si="48"/>
        <v>0</v>
      </c>
      <c r="AL112" s="408">
        <f t="shared" si="65"/>
        <v>0</v>
      </c>
      <c r="AM112" s="408">
        <f t="shared" si="66"/>
        <v>0</v>
      </c>
      <c r="AN112" s="408">
        <f t="shared" si="67"/>
        <v>0</v>
      </c>
      <c r="AO112" s="408">
        <f t="shared" si="68"/>
        <v>0</v>
      </c>
    </row>
    <row r="113" spans="1:41" s="408" customFormat="1" ht="15.75" x14ac:dyDescent="0.2">
      <c r="A113" s="371"/>
      <c r="B113" s="439"/>
      <c r="C113" s="441" t="s">
        <v>174</v>
      </c>
      <c r="D113" s="442" t="s">
        <v>173</v>
      </c>
      <c r="E113" s="373"/>
      <c r="F113" s="373"/>
      <c r="G113" s="373"/>
      <c r="H113" s="373"/>
      <c r="I113" s="373"/>
      <c r="J113" s="373"/>
      <c r="K113" s="373"/>
      <c r="L113" s="373"/>
      <c r="M113" s="373"/>
      <c r="N113" s="373"/>
      <c r="O113" s="373"/>
      <c r="P113" s="373"/>
      <c r="Q113" s="373"/>
      <c r="R113" s="373"/>
      <c r="S113" s="373"/>
      <c r="T113" s="373"/>
      <c r="U113" s="374">
        <f t="shared" si="35"/>
        <v>0</v>
      </c>
      <c r="V113" s="374">
        <v>425</v>
      </c>
      <c r="W113" s="374">
        <f t="shared" si="53"/>
        <v>0</v>
      </c>
      <c r="X113" s="375"/>
      <c r="Y113" s="376"/>
      <c r="Z113" s="408">
        <f t="shared" si="54"/>
        <v>0</v>
      </c>
      <c r="AA113" s="408">
        <f t="shared" si="55"/>
        <v>0</v>
      </c>
      <c r="AB113" s="408">
        <f t="shared" si="56"/>
        <v>0</v>
      </c>
      <c r="AC113" s="408">
        <f t="shared" si="57"/>
        <v>0</v>
      </c>
      <c r="AD113" s="408">
        <f t="shared" si="58"/>
        <v>0</v>
      </c>
      <c r="AE113" s="408">
        <f t="shared" si="59"/>
        <v>0</v>
      </c>
      <c r="AF113" s="408">
        <f t="shared" si="60"/>
        <v>0</v>
      </c>
      <c r="AG113" s="408">
        <f t="shared" si="61"/>
        <v>0</v>
      </c>
      <c r="AH113" s="408">
        <f t="shared" si="62"/>
        <v>0</v>
      </c>
      <c r="AI113" s="408">
        <f t="shared" si="63"/>
        <v>0</v>
      </c>
      <c r="AJ113" s="408">
        <f t="shared" si="64"/>
        <v>0</v>
      </c>
      <c r="AK113" s="408">
        <f t="shared" si="48"/>
        <v>0</v>
      </c>
      <c r="AL113" s="408">
        <f t="shared" si="65"/>
        <v>0</v>
      </c>
      <c r="AM113" s="408">
        <f t="shared" si="66"/>
        <v>0</v>
      </c>
      <c r="AN113" s="408">
        <f t="shared" si="67"/>
        <v>0</v>
      </c>
      <c r="AO113" s="408">
        <f t="shared" si="68"/>
        <v>0</v>
      </c>
    </row>
    <row r="114" spans="1:41" s="408" customFormat="1" ht="15.75" x14ac:dyDescent="0.2">
      <c r="A114" s="371"/>
      <c r="B114" s="439"/>
      <c r="C114" s="441" t="s">
        <v>175</v>
      </c>
      <c r="D114" s="442" t="s">
        <v>173</v>
      </c>
      <c r="E114" s="373"/>
      <c r="F114" s="373"/>
      <c r="G114" s="373"/>
      <c r="H114" s="373"/>
      <c r="I114" s="373"/>
      <c r="J114" s="373"/>
      <c r="K114" s="373"/>
      <c r="L114" s="373"/>
      <c r="M114" s="373"/>
      <c r="N114" s="373"/>
      <c r="O114" s="373"/>
      <c r="P114" s="373"/>
      <c r="Q114" s="373"/>
      <c r="R114" s="373"/>
      <c r="S114" s="373"/>
      <c r="T114" s="373"/>
      <c r="U114" s="374">
        <f t="shared" si="35"/>
        <v>0</v>
      </c>
      <c r="V114" s="374">
        <v>375</v>
      </c>
      <c r="W114" s="374">
        <f t="shared" si="53"/>
        <v>0</v>
      </c>
      <c r="X114" s="375"/>
      <c r="Y114" s="376"/>
      <c r="Z114" s="408">
        <f t="shared" si="54"/>
        <v>0</v>
      </c>
      <c r="AA114" s="408">
        <f t="shared" si="55"/>
        <v>0</v>
      </c>
      <c r="AB114" s="408">
        <f t="shared" si="56"/>
        <v>0</v>
      </c>
      <c r="AC114" s="408">
        <f t="shared" si="57"/>
        <v>0</v>
      </c>
      <c r="AD114" s="408">
        <f t="shared" si="58"/>
        <v>0</v>
      </c>
      <c r="AE114" s="408">
        <f t="shared" si="59"/>
        <v>0</v>
      </c>
      <c r="AF114" s="408">
        <f t="shared" si="60"/>
        <v>0</v>
      </c>
      <c r="AG114" s="408">
        <f t="shared" si="61"/>
        <v>0</v>
      </c>
      <c r="AH114" s="408">
        <f t="shared" si="62"/>
        <v>0</v>
      </c>
      <c r="AI114" s="408">
        <f t="shared" si="63"/>
        <v>0</v>
      </c>
      <c r="AJ114" s="408">
        <f t="shared" si="64"/>
        <v>0</v>
      </c>
      <c r="AK114" s="408">
        <f t="shared" si="48"/>
        <v>0</v>
      </c>
      <c r="AL114" s="408">
        <f t="shared" si="65"/>
        <v>0</v>
      </c>
      <c r="AM114" s="408">
        <f t="shared" si="66"/>
        <v>0</v>
      </c>
      <c r="AN114" s="408">
        <f t="shared" si="67"/>
        <v>0</v>
      </c>
      <c r="AO114" s="408">
        <f t="shared" si="68"/>
        <v>0</v>
      </c>
    </row>
    <row r="115" spans="1:41" s="408" customFormat="1" ht="15.75" x14ac:dyDescent="0.2">
      <c r="A115" s="371"/>
      <c r="B115" s="439"/>
      <c r="C115" s="441" t="s">
        <v>176</v>
      </c>
      <c r="D115" s="442" t="s">
        <v>173</v>
      </c>
      <c r="E115" s="373"/>
      <c r="F115" s="373"/>
      <c r="G115" s="373"/>
      <c r="H115" s="373"/>
      <c r="I115" s="373"/>
      <c r="J115" s="373"/>
      <c r="K115" s="373"/>
      <c r="L115" s="373"/>
      <c r="M115" s="373"/>
      <c r="N115" s="373"/>
      <c r="O115" s="373"/>
      <c r="P115" s="373"/>
      <c r="Q115" s="373"/>
      <c r="R115" s="373"/>
      <c r="S115" s="373"/>
      <c r="T115" s="373"/>
      <c r="U115" s="374">
        <f t="shared" si="35"/>
        <v>0</v>
      </c>
      <c r="V115" s="374">
        <v>310</v>
      </c>
      <c r="W115" s="374">
        <f t="shared" si="53"/>
        <v>0</v>
      </c>
      <c r="X115" s="375"/>
      <c r="Y115" s="376"/>
      <c r="Z115" s="408">
        <f t="shared" si="54"/>
        <v>0</v>
      </c>
      <c r="AA115" s="408">
        <f t="shared" si="55"/>
        <v>0</v>
      </c>
      <c r="AB115" s="408">
        <f t="shared" si="56"/>
        <v>0</v>
      </c>
      <c r="AC115" s="408">
        <f t="shared" si="57"/>
        <v>0</v>
      </c>
      <c r="AD115" s="408">
        <f t="shared" si="58"/>
        <v>0</v>
      </c>
      <c r="AE115" s="408">
        <f t="shared" si="59"/>
        <v>0</v>
      </c>
      <c r="AF115" s="408">
        <f t="shared" si="60"/>
        <v>0</v>
      </c>
      <c r="AG115" s="408">
        <f t="shared" si="61"/>
        <v>0</v>
      </c>
      <c r="AH115" s="408">
        <f t="shared" si="62"/>
        <v>0</v>
      </c>
      <c r="AI115" s="408">
        <f t="shared" si="63"/>
        <v>0</v>
      </c>
      <c r="AJ115" s="408">
        <f t="shared" si="64"/>
        <v>0</v>
      </c>
      <c r="AK115" s="408">
        <f t="shared" si="48"/>
        <v>0</v>
      </c>
      <c r="AL115" s="408">
        <f t="shared" si="65"/>
        <v>0</v>
      </c>
      <c r="AM115" s="408">
        <f t="shared" si="66"/>
        <v>0</v>
      </c>
      <c r="AN115" s="408">
        <f t="shared" si="67"/>
        <v>0</v>
      </c>
      <c r="AO115" s="408">
        <f t="shared" si="68"/>
        <v>0</v>
      </c>
    </row>
    <row r="116" spans="1:41" s="408" customFormat="1" ht="31.5" x14ac:dyDescent="0.2">
      <c r="A116" s="371">
        <v>38</v>
      </c>
      <c r="B116" s="439" t="s">
        <v>70</v>
      </c>
      <c r="C116" s="441" t="s">
        <v>177</v>
      </c>
      <c r="D116" s="438" t="s">
        <v>73</v>
      </c>
      <c r="E116" s="373"/>
      <c r="F116" s="373"/>
      <c r="G116" s="373"/>
      <c r="H116" s="373"/>
      <c r="I116" s="373"/>
      <c r="J116" s="373"/>
      <c r="K116" s="373"/>
      <c r="L116" s="373"/>
      <c r="M116" s="373"/>
      <c r="N116" s="373"/>
      <c r="O116" s="373"/>
      <c r="P116" s="373"/>
      <c r="Q116" s="373"/>
      <c r="R116" s="373"/>
      <c r="S116" s="373"/>
      <c r="T116" s="373"/>
      <c r="U116" s="374">
        <f t="shared" si="35"/>
        <v>0</v>
      </c>
      <c r="V116" s="374">
        <v>825</v>
      </c>
      <c r="W116" s="374">
        <f t="shared" si="53"/>
        <v>0</v>
      </c>
      <c r="X116" s="375"/>
      <c r="Y116" s="376"/>
      <c r="Z116" s="408">
        <f t="shared" si="54"/>
        <v>0</v>
      </c>
      <c r="AA116" s="408">
        <f t="shared" si="55"/>
        <v>0</v>
      </c>
      <c r="AB116" s="408">
        <f t="shared" si="56"/>
        <v>0</v>
      </c>
      <c r="AC116" s="408">
        <f t="shared" si="57"/>
        <v>0</v>
      </c>
      <c r="AD116" s="408">
        <f t="shared" si="58"/>
        <v>0</v>
      </c>
      <c r="AE116" s="408">
        <f t="shared" si="59"/>
        <v>0</v>
      </c>
      <c r="AF116" s="408">
        <f t="shared" si="60"/>
        <v>0</v>
      </c>
      <c r="AG116" s="408">
        <f t="shared" si="61"/>
        <v>0</v>
      </c>
      <c r="AH116" s="408">
        <f t="shared" si="62"/>
        <v>0</v>
      </c>
      <c r="AI116" s="408">
        <f t="shared" si="63"/>
        <v>0</v>
      </c>
      <c r="AJ116" s="408">
        <f t="shared" si="64"/>
        <v>0</v>
      </c>
      <c r="AK116" s="408">
        <f t="shared" si="48"/>
        <v>0</v>
      </c>
      <c r="AL116" s="408">
        <f t="shared" si="65"/>
        <v>0</v>
      </c>
      <c r="AM116" s="408">
        <f t="shared" si="66"/>
        <v>0</v>
      </c>
      <c r="AN116" s="408">
        <f t="shared" si="67"/>
        <v>0</v>
      </c>
      <c r="AO116" s="408">
        <f t="shared" si="68"/>
        <v>0</v>
      </c>
    </row>
    <row r="117" spans="1:41" s="408" customFormat="1" ht="47.25" x14ac:dyDescent="0.2">
      <c r="A117" s="371">
        <v>39</v>
      </c>
      <c r="B117" s="443" t="s">
        <v>70</v>
      </c>
      <c r="C117" s="444" t="s">
        <v>453</v>
      </c>
      <c r="D117" s="445"/>
      <c r="E117" s="373"/>
      <c r="F117" s="373"/>
      <c r="G117" s="373"/>
      <c r="H117" s="373"/>
      <c r="I117" s="373"/>
      <c r="J117" s="373"/>
      <c r="K117" s="373"/>
      <c r="L117" s="373"/>
      <c r="M117" s="373"/>
      <c r="N117" s="373"/>
      <c r="O117" s="373"/>
      <c r="P117" s="373"/>
      <c r="Q117" s="373"/>
      <c r="R117" s="373"/>
      <c r="S117" s="373"/>
      <c r="T117" s="373"/>
      <c r="U117" s="374">
        <f t="shared" si="35"/>
        <v>0</v>
      </c>
      <c r="V117" s="374"/>
      <c r="W117" s="374">
        <f t="shared" si="53"/>
        <v>0</v>
      </c>
      <c r="X117" s="375"/>
      <c r="Y117" s="376"/>
      <c r="Z117" s="408">
        <f t="shared" si="54"/>
        <v>0</v>
      </c>
      <c r="AA117" s="408">
        <f t="shared" si="55"/>
        <v>0</v>
      </c>
      <c r="AB117" s="408">
        <f t="shared" si="56"/>
        <v>0</v>
      </c>
      <c r="AC117" s="408">
        <f t="shared" si="57"/>
        <v>0</v>
      </c>
      <c r="AD117" s="408">
        <f t="shared" si="58"/>
        <v>0</v>
      </c>
      <c r="AE117" s="408">
        <f t="shared" si="59"/>
        <v>0</v>
      </c>
      <c r="AF117" s="408">
        <f t="shared" si="60"/>
        <v>0</v>
      </c>
      <c r="AG117" s="408">
        <f t="shared" si="61"/>
        <v>0</v>
      </c>
      <c r="AH117" s="408">
        <f t="shared" si="62"/>
        <v>0</v>
      </c>
      <c r="AI117" s="408">
        <f t="shared" si="63"/>
        <v>0</v>
      </c>
      <c r="AJ117" s="408">
        <f t="shared" si="64"/>
        <v>0</v>
      </c>
      <c r="AK117" s="408">
        <f t="shared" si="48"/>
        <v>0</v>
      </c>
      <c r="AL117" s="408">
        <f t="shared" si="65"/>
        <v>0</v>
      </c>
      <c r="AM117" s="408">
        <f t="shared" si="66"/>
        <v>0</v>
      </c>
      <c r="AN117" s="408">
        <f t="shared" si="67"/>
        <v>0</v>
      </c>
      <c r="AO117" s="408">
        <f t="shared" si="68"/>
        <v>0</v>
      </c>
    </row>
    <row r="118" spans="1:41" s="408" customFormat="1" ht="15.75" x14ac:dyDescent="0.2">
      <c r="A118" s="371"/>
      <c r="B118" s="446" t="s">
        <v>178</v>
      </c>
      <c r="C118" s="447" t="s">
        <v>179</v>
      </c>
      <c r="D118" s="416" t="s">
        <v>180</v>
      </c>
      <c r="E118" s="373"/>
      <c r="F118" s="373"/>
      <c r="G118" s="373"/>
      <c r="H118" s="373"/>
      <c r="I118" s="373"/>
      <c r="J118" s="373"/>
      <c r="K118" s="373"/>
      <c r="L118" s="373"/>
      <c r="M118" s="373"/>
      <c r="N118" s="373"/>
      <c r="O118" s="373"/>
      <c r="P118" s="373"/>
      <c r="Q118" s="373"/>
      <c r="R118" s="373"/>
      <c r="S118" s="373"/>
      <c r="T118" s="373"/>
      <c r="U118" s="374">
        <f t="shared" si="35"/>
        <v>0</v>
      </c>
      <c r="V118" s="374">
        <v>56700</v>
      </c>
      <c r="W118" s="374">
        <f t="shared" si="53"/>
        <v>0</v>
      </c>
      <c r="X118" s="375"/>
      <c r="Y118" s="376"/>
      <c r="Z118" s="408">
        <f t="shared" si="54"/>
        <v>0</v>
      </c>
      <c r="AA118" s="408">
        <f t="shared" si="55"/>
        <v>0</v>
      </c>
      <c r="AB118" s="408">
        <f t="shared" si="56"/>
        <v>0</v>
      </c>
      <c r="AC118" s="408">
        <f t="shared" si="57"/>
        <v>0</v>
      </c>
      <c r="AD118" s="408">
        <f t="shared" si="58"/>
        <v>0</v>
      </c>
      <c r="AE118" s="408">
        <f t="shared" si="59"/>
        <v>0</v>
      </c>
      <c r="AF118" s="408">
        <f t="shared" si="60"/>
        <v>0</v>
      </c>
      <c r="AG118" s="408">
        <f t="shared" si="61"/>
        <v>0</v>
      </c>
      <c r="AH118" s="408">
        <f t="shared" si="62"/>
        <v>0</v>
      </c>
      <c r="AI118" s="408">
        <f t="shared" si="63"/>
        <v>0</v>
      </c>
      <c r="AJ118" s="408">
        <f t="shared" si="64"/>
        <v>0</v>
      </c>
      <c r="AK118" s="408">
        <f t="shared" si="48"/>
        <v>0</v>
      </c>
      <c r="AL118" s="408">
        <f t="shared" si="65"/>
        <v>0</v>
      </c>
      <c r="AM118" s="408">
        <f t="shared" si="66"/>
        <v>0</v>
      </c>
      <c r="AN118" s="408">
        <f t="shared" si="67"/>
        <v>0</v>
      </c>
      <c r="AO118" s="408">
        <f t="shared" si="68"/>
        <v>0</v>
      </c>
    </row>
    <row r="119" spans="1:41" s="408" customFormat="1" ht="15.75" x14ac:dyDescent="0.2">
      <c r="A119" s="371"/>
      <c r="B119" s="446" t="s">
        <v>181</v>
      </c>
      <c r="C119" s="447" t="s">
        <v>182</v>
      </c>
      <c r="D119" s="416" t="s">
        <v>180</v>
      </c>
      <c r="E119" s="373"/>
      <c r="F119" s="373"/>
      <c r="G119" s="373"/>
      <c r="H119" s="373"/>
      <c r="I119" s="373"/>
      <c r="J119" s="373"/>
      <c r="K119" s="373"/>
      <c r="L119" s="373"/>
      <c r="M119" s="373"/>
      <c r="N119" s="373"/>
      <c r="O119" s="373"/>
      <c r="P119" s="373"/>
      <c r="Q119" s="373"/>
      <c r="R119" s="373"/>
      <c r="S119" s="373"/>
      <c r="T119" s="373"/>
      <c r="U119" s="374">
        <f t="shared" si="35"/>
        <v>0</v>
      </c>
      <c r="V119" s="374">
        <v>47500</v>
      </c>
      <c r="W119" s="374">
        <f t="shared" si="53"/>
        <v>0</v>
      </c>
      <c r="X119" s="375"/>
      <c r="Y119" s="376"/>
      <c r="Z119" s="408">
        <f t="shared" si="54"/>
        <v>0</v>
      </c>
      <c r="AA119" s="408">
        <f t="shared" si="55"/>
        <v>0</v>
      </c>
      <c r="AB119" s="408">
        <f t="shared" si="56"/>
        <v>0</v>
      </c>
      <c r="AC119" s="408">
        <f t="shared" si="57"/>
        <v>0</v>
      </c>
      <c r="AD119" s="408">
        <f t="shared" si="58"/>
        <v>0</v>
      </c>
      <c r="AE119" s="408">
        <f t="shared" si="59"/>
        <v>0</v>
      </c>
      <c r="AF119" s="408">
        <f t="shared" si="60"/>
        <v>0</v>
      </c>
      <c r="AG119" s="408">
        <f t="shared" si="61"/>
        <v>0</v>
      </c>
      <c r="AH119" s="408">
        <f t="shared" si="62"/>
        <v>0</v>
      </c>
      <c r="AI119" s="408">
        <f t="shared" si="63"/>
        <v>0</v>
      </c>
      <c r="AJ119" s="408">
        <f t="shared" si="64"/>
        <v>0</v>
      </c>
      <c r="AK119" s="408">
        <f t="shared" si="48"/>
        <v>0</v>
      </c>
      <c r="AL119" s="408">
        <f t="shared" si="65"/>
        <v>0</v>
      </c>
      <c r="AM119" s="408">
        <f t="shared" si="66"/>
        <v>0</v>
      </c>
      <c r="AN119" s="408">
        <f t="shared" si="67"/>
        <v>0</v>
      </c>
      <c r="AO119" s="408">
        <f t="shared" si="68"/>
        <v>0</v>
      </c>
    </row>
    <row r="120" spans="1:41" s="408" customFormat="1" ht="15.75" x14ac:dyDescent="0.2">
      <c r="A120" s="371"/>
      <c r="B120" s="446" t="s">
        <v>183</v>
      </c>
      <c r="C120" s="447" t="s">
        <v>184</v>
      </c>
      <c r="D120" s="416" t="s">
        <v>180</v>
      </c>
      <c r="E120" s="373"/>
      <c r="F120" s="373"/>
      <c r="G120" s="373"/>
      <c r="H120" s="373"/>
      <c r="I120" s="373"/>
      <c r="J120" s="373"/>
      <c r="K120" s="373"/>
      <c r="L120" s="373"/>
      <c r="M120" s="373"/>
      <c r="N120" s="373"/>
      <c r="O120" s="373"/>
      <c r="P120" s="373"/>
      <c r="Q120" s="373"/>
      <c r="R120" s="373"/>
      <c r="S120" s="373"/>
      <c r="T120" s="373"/>
      <c r="U120" s="374">
        <f t="shared" si="35"/>
        <v>0</v>
      </c>
      <c r="V120" s="374">
        <v>40500</v>
      </c>
      <c r="W120" s="374">
        <f t="shared" si="53"/>
        <v>0</v>
      </c>
      <c r="X120" s="375"/>
      <c r="Y120" s="376"/>
      <c r="Z120" s="408">
        <f t="shared" si="54"/>
        <v>0</v>
      </c>
      <c r="AA120" s="408">
        <f t="shared" si="55"/>
        <v>0</v>
      </c>
      <c r="AB120" s="408">
        <f t="shared" si="56"/>
        <v>0</v>
      </c>
      <c r="AC120" s="408">
        <f t="shared" si="57"/>
        <v>0</v>
      </c>
      <c r="AD120" s="408">
        <f t="shared" si="58"/>
        <v>0</v>
      </c>
      <c r="AE120" s="408">
        <f t="shared" si="59"/>
        <v>0</v>
      </c>
      <c r="AF120" s="408">
        <f t="shared" si="60"/>
        <v>0</v>
      </c>
      <c r="AG120" s="408">
        <f t="shared" si="61"/>
        <v>0</v>
      </c>
      <c r="AH120" s="408">
        <f t="shared" si="62"/>
        <v>0</v>
      </c>
      <c r="AI120" s="408">
        <f t="shared" si="63"/>
        <v>0</v>
      </c>
      <c r="AJ120" s="408">
        <f t="shared" si="64"/>
        <v>0</v>
      </c>
      <c r="AK120" s="408">
        <f t="shared" si="48"/>
        <v>0</v>
      </c>
      <c r="AL120" s="408">
        <f t="shared" si="65"/>
        <v>0</v>
      </c>
      <c r="AM120" s="408">
        <f t="shared" si="66"/>
        <v>0</v>
      </c>
      <c r="AN120" s="408">
        <f t="shared" si="67"/>
        <v>0</v>
      </c>
      <c r="AO120" s="408">
        <f t="shared" si="68"/>
        <v>0</v>
      </c>
    </row>
    <row r="121" spans="1:41" s="408" customFormat="1" ht="15.75" x14ac:dyDescent="0.2">
      <c r="A121" s="371"/>
      <c r="B121" s="446" t="s">
        <v>185</v>
      </c>
      <c r="C121" s="447" t="s">
        <v>186</v>
      </c>
      <c r="D121" s="416" t="s">
        <v>180</v>
      </c>
      <c r="E121" s="373"/>
      <c r="F121" s="373"/>
      <c r="G121" s="373"/>
      <c r="H121" s="373">
        <f>'WEIGH BRIDGE CABIN '!I144</f>
        <v>1</v>
      </c>
      <c r="I121" s="373"/>
      <c r="J121" s="373"/>
      <c r="K121" s="373"/>
      <c r="L121" s="373"/>
      <c r="M121" s="373"/>
      <c r="N121" s="373"/>
      <c r="O121" s="373"/>
      <c r="P121" s="373"/>
      <c r="Q121" s="373"/>
      <c r="R121" s="373"/>
      <c r="S121" s="373"/>
      <c r="T121" s="373"/>
      <c r="U121" s="374">
        <f t="shared" si="35"/>
        <v>1</v>
      </c>
      <c r="V121" s="374">
        <v>31000</v>
      </c>
      <c r="W121" s="374">
        <f t="shared" si="53"/>
        <v>31000</v>
      </c>
      <c r="X121" s="375"/>
      <c r="Y121" s="376"/>
      <c r="Z121" s="408">
        <f t="shared" si="54"/>
        <v>0</v>
      </c>
      <c r="AA121" s="408">
        <f t="shared" si="55"/>
        <v>0</v>
      </c>
      <c r="AB121" s="408">
        <f t="shared" si="56"/>
        <v>0</v>
      </c>
      <c r="AC121" s="408">
        <f t="shared" si="57"/>
        <v>31000</v>
      </c>
      <c r="AD121" s="408">
        <f t="shared" si="58"/>
        <v>0</v>
      </c>
      <c r="AE121" s="408">
        <f t="shared" si="59"/>
        <v>0</v>
      </c>
      <c r="AF121" s="408">
        <f t="shared" si="60"/>
        <v>0</v>
      </c>
      <c r="AG121" s="408">
        <f t="shared" si="61"/>
        <v>0</v>
      </c>
      <c r="AH121" s="408">
        <f t="shared" si="62"/>
        <v>0</v>
      </c>
      <c r="AI121" s="408">
        <f t="shared" si="63"/>
        <v>0</v>
      </c>
      <c r="AJ121" s="408">
        <f t="shared" si="64"/>
        <v>0</v>
      </c>
      <c r="AK121" s="408">
        <f t="shared" si="48"/>
        <v>0</v>
      </c>
      <c r="AL121" s="408">
        <f t="shared" si="65"/>
        <v>0</v>
      </c>
      <c r="AM121" s="408">
        <f t="shared" si="66"/>
        <v>0</v>
      </c>
      <c r="AN121" s="408">
        <f t="shared" si="67"/>
        <v>0</v>
      </c>
      <c r="AO121" s="408">
        <f t="shared" si="68"/>
        <v>0</v>
      </c>
    </row>
    <row r="122" spans="1:41" s="408" customFormat="1" ht="15.75" x14ac:dyDescent="0.2">
      <c r="A122" s="371"/>
      <c r="B122" s="446" t="s">
        <v>187</v>
      </c>
      <c r="C122" s="447" t="s">
        <v>188</v>
      </c>
      <c r="D122" s="416" t="s">
        <v>180</v>
      </c>
      <c r="E122" s="373"/>
      <c r="F122" s="373"/>
      <c r="G122" s="373"/>
      <c r="H122" s="373"/>
      <c r="I122" s="373"/>
      <c r="J122" s="373"/>
      <c r="K122" s="373"/>
      <c r="L122" s="373"/>
      <c r="M122" s="373"/>
      <c r="N122" s="373"/>
      <c r="O122" s="373"/>
      <c r="P122" s="373"/>
      <c r="Q122" s="373"/>
      <c r="R122" s="373"/>
      <c r="S122" s="373"/>
      <c r="T122" s="373"/>
      <c r="U122" s="374">
        <f t="shared" si="35"/>
        <v>0</v>
      </c>
      <c r="V122" s="374">
        <v>26500</v>
      </c>
      <c r="W122" s="374">
        <f t="shared" si="53"/>
        <v>0</v>
      </c>
      <c r="X122" s="375"/>
      <c r="Y122" s="376"/>
      <c r="Z122" s="408">
        <f t="shared" si="54"/>
        <v>0</v>
      </c>
      <c r="AA122" s="408">
        <f t="shared" si="55"/>
        <v>0</v>
      </c>
      <c r="AB122" s="408">
        <f t="shared" si="56"/>
        <v>0</v>
      </c>
      <c r="AC122" s="408">
        <f t="shared" si="57"/>
        <v>0</v>
      </c>
      <c r="AD122" s="408">
        <f t="shared" si="58"/>
        <v>0</v>
      </c>
      <c r="AE122" s="408">
        <f t="shared" si="59"/>
        <v>0</v>
      </c>
      <c r="AF122" s="408">
        <f t="shared" si="60"/>
        <v>0</v>
      </c>
      <c r="AG122" s="408">
        <f t="shared" si="61"/>
        <v>0</v>
      </c>
      <c r="AH122" s="408">
        <f t="shared" si="62"/>
        <v>0</v>
      </c>
      <c r="AI122" s="408">
        <f t="shared" si="63"/>
        <v>0</v>
      </c>
      <c r="AJ122" s="408">
        <f t="shared" si="64"/>
        <v>0</v>
      </c>
      <c r="AK122" s="408">
        <f t="shared" si="48"/>
        <v>0</v>
      </c>
      <c r="AL122" s="408">
        <f t="shared" si="65"/>
        <v>0</v>
      </c>
      <c r="AM122" s="408">
        <f t="shared" si="66"/>
        <v>0</v>
      </c>
      <c r="AN122" s="408">
        <f t="shared" si="67"/>
        <v>0</v>
      </c>
      <c r="AO122" s="408">
        <f t="shared" si="68"/>
        <v>0</v>
      </c>
    </row>
    <row r="123" spans="1:41" s="408" customFormat="1" ht="15.75" x14ac:dyDescent="0.2">
      <c r="A123" s="371"/>
      <c r="B123" s="446" t="s">
        <v>189</v>
      </c>
      <c r="C123" s="447" t="s">
        <v>190</v>
      </c>
      <c r="D123" s="416" t="s">
        <v>180</v>
      </c>
      <c r="E123" s="373"/>
      <c r="F123" s="373"/>
      <c r="G123" s="373"/>
      <c r="H123" s="373"/>
      <c r="I123" s="373"/>
      <c r="J123" s="373"/>
      <c r="K123" s="373"/>
      <c r="L123" s="373"/>
      <c r="M123" s="373"/>
      <c r="N123" s="373"/>
      <c r="O123" s="373"/>
      <c r="P123" s="373"/>
      <c r="Q123" s="373"/>
      <c r="R123" s="373"/>
      <c r="S123" s="373"/>
      <c r="T123" s="373"/>
      <c r="U123" s="374">
        <f t="shared" si="35"/>
        <v>0</v>
      </c>
      <c r="V123" s="374">
        <v>77500</v>
      </c>
      <c r="W123" s="374">
        <f t="shared" si="53"/>
        <v>0</v>
      </c>
      <c r="X123" s="375"/>
      <c r="Y123" s="376"/>
      <c r="Z123" s="408">
        <f t="shared" si="54"/>
        <v>0</v>
      </c>
      <c r="AA123" s="408">
        <f t="shared" si="55"/>
        <v>0</v>
      </c>
      <c r="AB123" s="408">
        <f t="shared" si="56"/>
        <v>0</v>
      </c>
      <c r="AC123" s="408">
        <f t="shared" si="57"/>
        <v>0</v>
      </c>
      <c r="AD123" s="408">
        <f t="shared" si="58"/>
        <v>0</v>
      </c>
      <c r="AE123" s="408">
        <f t="shared" si="59"/>
        <v>0</v>
      </c>
      <c r="AF123" s="408">
        <f t="shared" si="60"/>
        <v>0</v>
      </c>
      <c r="AG123" s="408">
        <f t="shared" si="61"/>
        <v>0</v>
      </c>
      <c r="AH123" s="408">
        <f t="shared" si="62"/>
        <v>0</v>
      </c>
      <c r="AI123" s="408">
        <f t="shared" si="63"/>
        <v>0</v>
      </c>
      <c r="AJ123" s="408">
        <f t="shared" si="64"/>
        <v>0</v>
      </c>
      <c r="AK123" s="408">
        <f t="shared" si="48"/>
        <v>0</v>
      </c>
      <c r="AL123" s="408">
        <f t="shared" si="65"/>
        <v>0</v>
      </c>
      <c r="AM123" s="408">
        <f t="shared" si="66"/>
        <v>0</v>
      </c>
      <c r="AN123" s="408">
        <f t="shared" si="67"/>
        <v>0</v>
      </c>
      <c r="AO123" s="408">
        <f t="shared" si="68"/>
        <v>0</v>
      </c>
    </row>
    <row r="124" spans="1:41" s="408" customFormat="1" ht="15.75" x14ac:dyDescent="0.2">
      <c r="A124" s="371"/>
      <c r="B124" s="446" t="s">
        <v>191</v>
      </c>
      <c r="C124" s="447" t="s">
        <v>192</v>
      </c>
      <c r="D124" s="416" t="s">
        <v>180</v>
      </c>
      <c r="E124" s="373"/>
      <c r="F124" s="373"/>
      <c r="G124" s="373"/>
      <c r="H124" s="373"/>
      <c r="I124" s="373"/>
      <c r="J124" s="373"/>
      <c r="K124" s="373"/>
      <c r="L124" s="373"/>
      <c r="M124" s="373"/>
      <c r="N124" s="373"/>
      <c r="O124" s="373"/>
      <c r="P124" s="373"/>
      <c r="Q124" s="373"/>
      <c r="R124" s="373"/>
      <c r="S124" s="373"/>
      <c r="T124" s="373"/>
      <c r="U124" s="374">
        <f t="shared" si="35"/>
        <v>0</v>
      </c>
      <c r="V124" s="374">
        <v>116000</v>
      </c>
      <c r="W124" s="374">
        <f t="shared" si="53"/>
        <v>0</v>
      </c>
      <c r="X124" s="375"/>
      <c r="Y124" s="376"/>
      <c r="Z124" s="408">
        <f t="shared" si="54"/>
        <v>0</v>
      </c>
      <c r="AA124" s="408">
        <f t="shared" si="55"/>
        <v>0</v>
      </c>
      <c r="AB124" s="408">
        <f t="shared" si="56"/>
        <v>0</v>
      </c>
      <c r="AC124" s="408">
        <f t="shared" si="57"/>
        <v>0</v>
      </c>
      <c r="AD124" s="408">
        <f t="shared" si="58"/>
        <v>0</v>
      </c>
      <c r="AE124" s="408">
        <f t="shared" si="59"/>
        <v>0</v>
      </c>
      <c r="AF124" s="408">
        <f t="shared" si="60"/>
        <v>0</v>
      </c>
      <c r="AG124" s="408">
        <f t="shared" si="61"/>
        <v>0</v>
      </c>
      <c r="AH124" s="408">
        <f t="shared" si="62"/>
        <v>0</v>
      </c>
      <c r="AI124" s="408">
        <f t="shared" si="63"/>
        <v>0</v>
      </c>
      <c r="AJ124" s="408">
        <f t="shared" si="64"/>
        <v>0</v>
      </c>
      <c r="AK124" s="408">
        <f t="shared" si="48"/>
        <v>0</v>
      </c>
      <c r="AL124" s="408">
        <f t="shared" si="65"/>
        <v>0</v>
      </c>
      <c r="AM124" s="408">
        <f t="shared" si="66"/>
        <v>0</v>
      </c>
      <c r="AN124" s="408">
        <f t="shared" si="67"/>
        <v>0</v>
      </c>
      <c r="AO124" s="408">
        <f t="shared" si="68"/>
        <v>0</v>
      </c>
    </row>
    <row r="125" spans="1:41" s="408" customFormat="1" ht="15.75" x14ac:dyDescent="0.2">
      <c r="A125" s="371"/>
      <c r="B125" s="446" t="s">
        <v>193</v>
      </c>
      <c r="C125" s="447" t="s">
        <v>194</v>
      </c>
      <c r="D125" s="416" t="s">
        <v>180</v>
      </c>
      <c r="E125" s="373"/>
      <c r="F125" s="373"/>
      <c r="G125" s="373"/>
      <c r="H125" s="373"/>
      <c r="I125" s="373"/>
      <c r="J125" s="373"/>
      <c r="K125" s="373"/>
      <c r="L125" s="373"/>
      <c r="M125" s="373"/>
      <c r="N125" s="373"/>
      <c r="O125" s="373"/>
      <c r="P125" s="373"/>
      <c r="Q125" s="373"/>
      <c r="R125" s="373"/>
      <c r="S125" s="373"/>
      <c r="T125" s="373"/>
      <c r="U125" s="374">
        <f t="shared" si="35"/>
        <v>0</v>
      </c>
      <c r="V125" s="374">
        <v>150000</v>
      </c>
      <c r="W125" s="374">
        <f t="shared" si="53"/>
        <v>0</v>
      </c>
      <c r="X125" s="375"/>
      <c r="Y125" s="376"/>
      <c r="Z125" s="408">
        <f t="shared" si="54"/>
        <v>0</v>
      </c>
      <c r="AA125" s="408">
        <f t="shared" si="55"/>
        <v>0</v>
      </c>
      <c r="AB125" s="408">
        <f t="shared" si="56"/>
        <v>0</v>
      </c>
      <c r="AC125" s="408">
        <f t="shared" si="57"/>
        <v>0</v>
      </c>
      <c r="AD125" s="408">
        <f t="shared" si="58"/>
        <v>0</v>
      </c>
      <c r="AE125" s="408">
        <f t="shared" si="59"/>
        <v>0</v>
      </c>
      <c r="AF125" s="408">
        <f t="shared" si="60"/>
        <v>0</v>
      </c>
      <c r="AG125" s="408">
        <f t="shared" si="61"/>
        <v>0</v>
      </c>
      <c r="AH125" s="408">
        <f t="shared" si="62"/>
        <v>0</v>
      </c>
      <c r="AI125" s="408">
        <f t="shared" si="63"/>
        <v>0</v>
      </c>
      <c r="AJ125" s="408">
        <f t="shared" si="64"/>
        <v>0</v>
      </c>
      <c r="AK125" s="408">
        <f t="shared" si="48"/>
        <v>0</v>
      </c>
      <c r="AL125" s="408">
        <f t="shared" si="65"/>
        <v>0</v>
      </c>
      <c r="AM125" s="408">
        <f t="shared" si="66"/>
        <v>0</v>
      </c>
      <c r="AN125" s="408">
        <f t="shared" si="67"/>
        <v>0</v>
      </c>
      <c r="AO125" s="408">
        <f t="shared" si="68"/>
        <v>0</v>
      </c>
    </row>
    <row r="126" spans="1:41" s="408" customFormat="1" ht="15.75" x14ac:dyDescent="0.2">
      <c r="A126" s="371"/>
      <c r="B126" s="446" t="s">
        <v>195</v>
      </c>
      <c r="C126" s="447" t="s">
        <v>196</v>
      </c>
      <c r="D126" s="416" t="s">
        <v>180</v>
      </c>
      <c r="E126" s="373"/>
      <c r="F126" s="373"/>
      <c r="G126" s="373"/>
      <c r="H126" s="373"/>
      <c r="I126" s="373"/>
      <c r="J126" s="373"/>
      <c r="K126" s="373"/>
      <c r="L126" s="373"/>
      <c r="M126" s="373"/>
      <c r="N126" s="373"/>
      <c r="O126" s="373"/>
      <c r="P126" s="373"/>
      <c r="Q126" s="373"/>
      <c r="R126" s="373"/>
      <c r="S126" s="373"/>
      <c r="T126" s="373"/>
      <c r="U126" s="374">
        <f t="shared" si="35"/>
        <v>0</v>
      </c>
      <c r="V126" s="374">
        <v>51975</v>
      </c>
      <c r="W126" s="374">
        <f t="shared" si="53"/>
        <v>0</v>
      </c>
      <c r="X126" s="375"/>
      <c r="Y126" s="376"/>
      <c r="Z126" s="408">
        <f t="shared" si="54"/>
        <v>0</v>
      </c>
      <c r="AA126" s="408">
        <f t="shared" si="55"/>
        <v>0</v>
      </c>
      <c r="AB126" s="408">
        <f t="shared" si="56"/>
        <v>0</v>
      </c>
      <c r="AC126" s="408">
        <f t="shared" si="57"/>
        <v>0</v>
      </c>
      <c r="AD126" s="408">
        <f t="shared" si="58"/>
        <v>0</v>
      </c>
      <c r="AE126" s="408">
        <f t="shared" si="59"/>
        <v>0</v>
      </c>
      <c r="AF126" s="408">
        <f t="shared" si="60"/>
        <v>0</v>
      </c>
      <c r="AG126" s="408">
        <f t="shared" si="61"/>
        <v>0</v>
      </c>
      <c r="AH126" s="408">
        <f t="shared" si="62"/>
        <v>0</v>
      </c>
      <c r="AI126" s="408">
        <f t="shared" si="63"/>
        <v>0</v>
      </c>
      <c r="AJ126" s="408">
        <f t="shared" si="64"/>
        <v>0</v>
      </c>
      <c r="AK126" s="408">
        <f t="shared" si="48"/>
        <v>0</v>
      </c>
      <c r="AL126" s="408">
        <f t="shared" si="65"/>
        <v>0</v>
      </c>
      <c r="AM126" s="408">
        <f t="shared" si="66"/>
        <v>0</v>
      </c>
      <c r="AN126" s="408">
        <f t="shared" si="67"/>
        <v>0</v>
      </c>
      <c r="AO126" s="408">
        <f t="shared" si="68"/>
        <v>0</v>
      </c>
    </row>
    <row r="127" spans="1:41" s="408" customFormat="1" ht="15.75" x14ac:dyDescent="0.2">
      <c r="A127" s="371"/>
      <c r="B127" s="448"/>
      <c r="C127" s="447"/>
      <c r="D127" s="375"/>
      <c r="E127" s="373"/>
      <c r="F127" s="373"/>
      <c r="G127" s="373"/>
      <c r="H127" s="373"/>
      <c r="I127" s="373"/>
      <c r="J127" s="373"/>
      <c r="K127" s="373"/>
      <c r="L127" s="373"/>
      <c r="M127" s="373"/>
      <c r="N127" s="373"/>
      <c r="O127" s="373"/>
      <c r="P127" s="373"/>
      <c r="Q127" s="373"/>
      <c r="R127" s="373"/>
      <c r="S127" s="373"/>
      <c r="T127" s="373"/>
      <c r="U127" s="374">
        <f t="shared" si="35"/>
        <v>0</v>
      </c>
      <c r="V127" s="374"/>
      <c r="W127" s="374">
        <f t="shared" si="53"/>
        <v>0</v>
      </c>
      <c r="X127" s="375"/>
      <c r="Y127" s="376"/>
      <c r="Z127" s="408">
        <f t="shared" si="54"/>
        <v>0</v>
      </c>
      <c r="AA127" s="408">
        <f t="shared" si="55"/>
        <v>0</v>
      </c>
      <c r="AB127" s="408">
        <f t="shared" si="56"/>
        <v>0</v>
      </c>
      <c r="AC127" s="408">
        <f t="shared" si="57"/>
        <v>0</v>
      </c>
      <c r="AD127" s="408">
        <f t="shared" si="58"/>
        <v>0</v>
      </c>
      <c r="AE127" s="408">
        <f t="shared" si="59"/>
        <v>0</v>
      </c>
      <c r="AF127" s="408">
        <f t="shared" si="60"/>
        <v>0</v>
      </c>
      <c r="AG127" s="408">
        <f t="shared" si="61"/>
        <v>0</v>
      </c>
      <c r="AH127" s="408">
        <f t="shared" si="62"/>
        <v>0</v>
      </c>
      <c r="AI127" s="408">
        <f t="shared" si="63"/>
        <v>0</v>
      </c>
      <c r="AJ127" s="408">
        <f t="shared" si="64"/>
        <v>0</v>
      </c>
      <c r="AK127" s="408">
        <f t="shared" si="48"/>
        <v>0</v>
      </c>
      <c r="AL127" s="408">
        <f t="shared" si="65"/>
        <v>0</v>
      </c>
      <c r="AM127" s="408">
        <f t="shared" si="66"/>
        <v>0</v>
      </c>
      <c r="AN127" s="408">
        <f t="shared" si="67"/>
        <v>0</v>
      </c>
      <c r="AO127" s="408">
        <f t="shared" si="68"/>
        <v>0</v>
      </c>
    </row>
    <row r="128" spans="1:41" s="408" customFormat="1" ht="31.5" x14ac:dyDescent="0.2">
      <c r="A128" s="371">
        <v>40</v>
      </c>
      <c r="B128" s="360" t="s">
        <v>197</v>
      </c>
      <c r="C128" s="449" t="s">
        <v>198</v>
      </c>
      <c r="D128" s="450" t="s">
        <v>199</v>
      </c>
      <c r="E128" s="373"/>
      <c r="F128" s="373"/>
      <c r="G128" s="373"/>
      <c r="H128" s="373">
        <f>'WEIGH BRIDGE CABIN '!I138</f>
        <v>4.5999999999999996</v>
      </c>
      <c r="I128" s="373"/>
      <c r="J128" s="373"/>
      <c r="K128" s="373"/>
      <c r="L128" s="373"/>
      <c r="M128" s="373"/>
      <c r="N128" s="373"/>
      <c r="O128" s="373"/>
      <c r="P128" s="373"/>
      <c r="Q128" s="373"/>
      <c r="R128" s="373"/>
      <c r="S128" s="373"/>
      <c r="T128" s="373"/>
      <c r="U128" s="374">
        <f t="shared" si="35"/>
        <v>4.5999999999999996</v>
      </c>
      <c r="V128" s="374">
        <v>710</v>
      </c>
      <c r="W128" s="374">
        <f t="shared" si="53"/>
        <v>3265.9999999999995</v>
      </c>
      <c r="X128" s="375"/>
      <c r="Y128" s="376"/>
      <c r="Z128" s="408">
        <f t="shared" si="54"/>
        <v>0</v>
      </c>
      <c r="AA128" s="408">
        <f t="shared" si="55"/>
        <v>0</v>
      </c>
      <c r="AB128" s="408">
        <f t="shared" si="56"/>
        <v>0</v>
      </c>
      <c r="AC128" s="408">
        <f t="shared" si="57"/>
        <v>3265.9999999999995</v>
      </c>
      <c r="AD128" s="408">
        <f t="shared" si="58"/>
        <v>0</v>
      </c>
      <c r="AE128" s="408">
        <f t="shared" si="59"/>
        <v>0</v>
      </c>
      <c r="AF128" s="408">
        <f t="shared" si="60"/>
        <v>0</v>
      </c>
      <c r="AG128" s="408">
        <f t="shared" si="61"/>
        <v>0</v>
      </c>
      <c r="AH128" s="408">
        <f t="shared" si="62"/>
        <v>0</v>
      </c>
      <c r="AI128" s="408">
        <f t="shared" si="63"/>
        <v>0</v>
      </c>
      <c r="AJ128" s="408">
        <f t="shared" si="64"/>
        <v>0</v>
      </c>
      <c r="AK128" s="408">
        <f t="shared" si="48"/>
        <v>0</v>
      </c>
      <c r="AL128" s="408">
        <f t="shared" si="65"/>
        <v>0</v>
      </c>
      <c r="AM128" s="408">
        <f t="shared" si="66"/>
        <v>0</v>
      </c>
      <c r="AN128" s="408">
        <f t="shared" si="67"/>
        <v>0</v>
      </c>
      <c r="AO128" s="408">
        <f t="shared" si="68"/>
        <v>0</v>
      </c>
    </row>
    <row r="129" spans="1:41" s="408" customFormat="1" ht="15.75" x14ac:dyDescent="0.25">
      <c r="A129" s="371"/>
      <c r="B129" s="451"/>
      <c r="C129" s="452"/>
      <c r="D129" s="452"/>
      <c r="E129" s="373"/>
      <c r="F129" s="373"/>
      <c r="G129" s="373"/>
      <c r="H129" s="373"/>
      <c r="I129" s="373"/>
      <c r="J129" s="373"/>
      <c r="K129" s="373"/>
      <c r="L129" s="373"/>
      <c r="M129" s="373"/>
      <c r="N129" s="373"/>
      <c r="O129" s="373"/>
      <c r="P129" s="373"/>
      <c r="Q129" s="373"/>
      <c r="R129" s="373"/>
      <c r="S129" s="373"/>
      <c r="T129" s="373"/>
      <c r="U129" s="374">
        <f t="shared" si="35"/>
        <v>0</v>
      </c>
      <c r="V129" s="374"/>
      <c r="W129" s="374">
        <f t="shared" si="53"/>
        <v>0</v>
      </c>
      <c r="X129" s="375"/>
      <c r="Y129" s="376"/>
      <c r="Z129" s="408">
        <f t="shared" si="54"/>
        <v>0</v>
      </c>
      <c r="AA129" s="408">
        <f t="shared" si="55"/>
        <v>0</v>
      </c>
      <c r="AB129" s="408">
        <f t="shared" si="56"/>
        <v>0</v>
      </c>
      <c r="AC129" s="408">
        <f t="shared" si="57"/>
        <v>0</v>
      </c>
      <c r="AD129" s="408">
        <f t="shared" si="58"/>
        <v>0</v>
      </c>
      <c r="AE129" s="408">
        <f t="shared" si="59"/>
        <v>0</v>
      </c>
      <c r="AF129" s="408">
        <f t="shared" si="60"/>
        <v>0</v>
      </c>
      <c r="AG129" s="408">
        <f t="shared" si="61"/>
        <v>0</v>
      </c>
      <c r="AH129" s="408">
        <f t="shared" si="62"/>
        <v>0</v>
      </c>
      <c r="AI129" s="408">
        <f t="shared" si="63"/>
        <v>0</v>
      </c>
      <c r="AJ129" s="408">
        <f t="shared" si="64"/>
        <v>0</v>
      </c>
      <c r="AK129" s="408">
        <f t="shared" si="48"/>
        <v>0</v>
      </c>
      <c r="AL129" s="408">
        <f t="shared" si="65"/>
        <v>0</v>
      </c>
      <c r="AM129" s="408">
        <f t="shared" si="66"/>
        <v>0</v>
      </c>
      <c r="AN129" s="408">
        <f t="shared" si="67"/>
        <v>0</v>
      </c>
      <c r="AO129" s="408">
        <f t="shared" si="68"/>
        <v>0</v>
      </c>
    </row>
    <row r="130" spans="1:41" s="408" customFormat="1" ht="36.75" customHeight="1" x14ac:dyDescent="0.2">
      <c r="A130" s="371">
        <v>41</v>
      </c>
      <c r="B130" s="360" t="s">
        <v>70</v>
      </c>
      <c r="C130" s="449" t="s">
        <v>200</v>
      </c>
      <c r="D130" s="450" t="s">
        <v>201</v>
      </c>
      <c r="E130" s="373"/>
      <c r="F130" s="373"/>
      <c r="G130" s="373"/>
      <c r="H130" s="373">
        <f>'WEIGH BRIDGE CABIN '!I150</f>
        <v>1.32</v>
      </c>
      <c r="I130" s="373"/>
      <c r="J130" s="373"/>
      <c r="K130" s="373"/>
      <c r="L130" s="373"/>
      <c r="M130" s="373"/>
      <c r="N130" s="373"/>
      <c r="O130" s="373"/>
      <c r="P130" s="373"/>
      <c r="Q130" s="373"/>
      <c r="R130" s="373"/>
      <c r="S130" s="373"/>
      <c r="T130" s="373"/>
      <c r="U130" s="374">
        <f t="shared" si="35"/>
        <v>1.32</v>
      </c>
      <c r="V130" s="374">
        <v>3800</v>
      </c>
      <c r="W130" s="374">
        <f t="shared" si="53"/>
        <v>5016</v>
      </c>
      <c r="X130" s="375"/>
      <c r="Y130" s="376"/>
      <c r="Z130" s="408">
        <f t="shared" si="54"/>
        <v>0</v>
      </c>
      <c r="AA130" s="408">
        <f t="shared" si="55"/>
        <v>0</v>
      </c>
      <c r="AB130" s="408">
        <f t="shared" si="56"/>
        <v>0</v>
      </c>
      <c r="AC130" s="408">
        <f t="shared" si="57"/>
        <v>5016</v>
      </c>
      <c r="AD130" s="408">
        <f t="shared" si="58"/>
        <v>0</v>
      </c>
      <c r="AE130" s="408">
        <f t="shared" si="59"/>
        <v>0</v>
      </c>
      <c r="AF130" s="408">
        <f t="shared" si="60"/>
        <v>0</v>
      </c>
      <c r="AG130" s="408">
        <f t="shared" si="61"/>
        <v>0</v>
      </c>
      <c r="AH130" s="408">
        <f t="shared" si="62"/>
        <v>0</v>
      </c>
      <c r="AI130" s="408">
        <f t="shared" si="63"/>
        <v>0</v>
      </c>
      <c r="AJ130" s="408">
        <f t="shared" si="64"/>
        <v>0</v>
      </c>
      <c r="AK130" s="408">
        <f t="shared" si="48"/>
        <v>0</v>
      </c>
      <c r="AL130" s="408">
        <f t="shared" si="65"/>
        <v>0</v>
      </c>
      <c r="AM130" s="408">
        <f t="shared" si="66"/>
        <v>0</v>
      </c>
      <c r="AN130" s="408">
        <f t="shared" si="67"/>
        <v>0</v>
      </c>
      <c r="AO130" s="408">
        <f t="shared" si="68"/>
        <v>0</v>
      </c>
    </row>
    <row r="131" spans="1:41" s="408" customFormat="1" ht="15.75" x14ac:dyDescent="0.2">
      <c r="A131" s="371">
        <v>42</v>
      </c>
      <c r="B131" s="360" t="s">
        <v>70</v>
      </c>
      <c r="C131" s="372" t="s">
        <v>513</v>
      </c>
      <c r="D131" s="372"/>
      <c r="E131" s="373"/>
      <c r="F131" s="373"/>
      <c r="G131" s="373"/>
      <c r="H131" s="373"/>
      <c r="I131" s="373"/>
      <c r="J131" s="373"/>
      <c r="K131" s="373"/>
      <c r="L131" s="373"/>
      <c r="M131" s="373"/>
      <c r="N131" s="373"/>
      <c r="O131" s="373"/>
      <c r="P131" s="373"/>
      <c r="Q131" s="373"/>
      <c r="R131" s="373"/>
      <c r="S131" s="373"/>
      <c r="T131" s="373"/>
      <c r="U131" s="374">
        <f t="shared" si="35"/>
        <v>0</v>
      </c>
      <c r="V131" s="374"/>
      <c r="W131" s="374">
        <f t="shared" si="53"/>
        <v>0</v>
      </c>
      <c r="X131" s="375"/>
      <c r="Y131" s="376"/>
      <c r="Z131" s="408">
        <f t="shared" si="54"/>
        <v>0</v>
      </c>
      <c r="AA131" s="408">
        <f t="shared" si="55"/>
        <v>0</v>
      </c>
      <c r="AB131" s="408">
        <f t="shared" si="56"/>
        <v>0</v>
      </c>
      <c r="AC131" s="408">
        <f t="shared" si="57"/>
        <v>0</v>
      </c>
      <c r="AD131" s="408">
        <f t="shared" si="58"/>
        <v>0</v>
      </c>
      <c r="AE131" s="408">
        <f t="shared" si="59"/>
        <v>0</v>
      </c>
      <c r="AF131" s="408">
        <f t="shared" si="60"/>
        <v>0</v>
      </c>
      <c r="AG131" s="408">
        <f t="shared" si="61"/>
        <v>0</v>
      </c>
      <c r="AH131" s="408">
        <f t="shared" si="62"/>
        <v>0</v>
      </c>
      <c r="AI131" s="408">
        <f t="shared" si="63"/>
        <v>0</v>
      </c>
      <c r="AJ131" s="408">
        <f t="shared" si="64"/>
        <v>0</v>
      </c>
      <c r="AK131" s="408">
        <f t="shared" si="48"/>
        <v>0</v>
      </c>
      <c r="AL131" s="408">
        <f t="shared" si="65"/>
        <v>0</v>
      </c>
      <c r="AM131" s="408">
        <f t="shared" si="66"/>
        <v>0</v>
      </c>
      <c r="AN131" s="408">
        <f t="shared" si="67"/>
        <v>0</v>
      </c>
      <c r="AO131" s="408">
        <f t="shared" si="68"/>
        <v>0</v>
      </c>
    </row>
    <row r="132" spans="1:41" s="408" customFormat="1" ht="15.75" x14ac:dyDescent="0.2">
      <c r="A132" s="371"/>
      <c r="B132" s="372" t="s">
        <v>178</v>
      </c>
      <c r="C132" s="372" t="s">
        <v>514</v>
      </c>
      <c r="D132" s="372"/>
      <c r="E132" s="373"/>
      <c r="F132" s="373"/>
      <c r="G132" s="373"/>
      <c r="H132" s="373"/>
      <c r="I132" s="373"/>
      <c r="J132" s="373"/>
      <c r="K132" s="373"/>
      <c r="L132" s="373"/>
      <c r="M132" s="373"/>
      <c r="N132" s="373"/>
      <c r="O132" s="373"/>
      <c r="P132" s="373"/>
      <c r="Q132" s="373"/>
      <c r="R132" s="373"/>
      <c r="S132" s="373"/>
      <c r="T132" s="373"/>
      <c r="U132" s="374"/>
      <c r="V132" s="374"/>
      <c r="W132" s="374"/>
      <c r="X132" s="375"/>
      <c r="Y132" s="376"/>
    </row>
    <row r="133" spans="1:41" s="408" customFormat="1" ht="15.75" x14ac:dyDescent="0.2">
      <c r="A133" s="371"/>
      <c r="B133" s="372" t="s">
        <v>291</v>
      </c>
      <c r="C133" s="372" t="s">
        <v>515</v>
      </c>
      <c r="D133" s="372"/>
      <c r="E133" s="373"/>
      <c r="F133" s="373"/>
      <c r="G133" s="373"/>
      <c r="H133" s="373"/>
      <c r="I133" s="373"/>
      <c r="J133" s="373"/>
      <c r="K133" s="373"/>
      <c r="L133" s="373"/>
      <c r="M133" s="373"/>
      <c r="N133" s="373"/>
      <c r="O133" s="373"/>
      <c r="P133" s="373"/>
      <c r="Q133" s="373"/>
      <c r="R133" s="373"/>
      <c r="S133" s="373"/>
      <c r="T133" s="373"/>
      <c r="U133" s="374"/>
      <c r="V133" s="374"/>
      <c r="W133" s="374"/>
      <c r="X133" s="375"/>
      <c r="Y133" s="376"/>
    </row>
    <row r="134" spans="1:41" s="408" customFormat="1" ht="47.25" x14ac:dyDescent="0.2">
      <c r="A134" s="371"/>
      <c r="B134" s="372" t="s">
        <v>183</v>
      </c>
      <c r="C134" s="372" t="s">
        <v>516</v>
      </c>
      <c r="D134" s="372"/>
      <c r="E134" s="373"/>
      <c r="F134" s="373"/>
      <c r="G134" s="373"/>
      <c r="H134" s="373"/>
      <c r="I134" s="373"/>
      <c r="J134" s="373"/>
      <c r="K134" s="373"/>
      <c r="L134" s="373"/>
      <c r="M134" s="373"/>
      <c r="N134" s="373"/>
      <c r="O134" s="373"/>
      <c r="P134" s="373"/>
      <c r="Q134" s="373"/>
      <c r="R134" s="373"/>
      <c r="S134" s="373"/>
      <c r="T134" s="373"/>
      <c r="U134" s="374"/>
      <c r="V134" s="374"/>
      <c r="W134" s="374"/>
      <c r="X134" s="375"/>
      <c r="Y134" s="376"/>
    </row>
    <row r="135" spans="1:41" s="408" customFormat="1" ht="47.25" x14ac:dyDescent="0.2">
      <c r="A135" s="371"/>
      <c r="B135" s="372" t="s">
        <v>185</v>
      </c>
      <c r="C135" s="372" t="s">
        <v>517</v>
      </c>
      <c r="D135" s="372"/>
      <c r="E135" s="373"/>
      <c r="F135" s="373"/>
      <c r="G135" s="373"/>
      <c r="H135" s="373"/>
      <c r="I135" s="373"/>
      <c r="J135" s="373"/>
      <c r="K135" s="373"/>
      <c r="L135" s="373"/>
      <c r="M135" s="373"/>
      <c r="N135" s="373"/>
      <c r="O135" s="373"/>
      <c r="P135" s="373"/>
      <c r="Q135" s="373"/>
      <c r="R135" s="373"/>
      <c r="S135" s="373"/>
      <c r="T135" s="373"/>
      <c r="U135" s="374"/>
      <c r="V135" s="374"/>
      <c r="W135" s="374"/>
      <c r="X135" s="375"/>
      <c r="Y135" s="376"/>
    </row>
    <row r="136" spans="1:41" s="408" customFormat="1" ht="47.25" x14ac:dyDescent="0.2">
      <c r="A136" s="371"/>
      <c r="B136" s="372" t="s">
        <v>187</v>
      </c>
      <c r="C136" s="372" t="s">
        <v>518</v>
      </c>
      <c r="D136" s="372"/>
      <c r="E136" s="373"/>
      <c r="F136" s="373"/>
      <c r="G136" s="373"/>
      <c r="H136" s="373"/>
      <c r="I136" s="373"/>
      <c r="J136" s="373"/>
      <c r="K136" s="373"/>
      <c r="L136" s="373"/>
      <c r="M136" s="373"/>
      <c r="N136" s="373"/>
      <c r="O136" s="373"/>
      <c r="P136" s="373"/>
      <c r="Q136" s="373"/>
      <c r="R136" s="373"/>
      <c r="S136" s="373"/>
      <c r="T136" s="373"/>
      <c r="U136" s="374"/>
      <c r="V136" s="374"/>
      <c r="W136" s="374"/>
      <c r="X136" s="375"/>
      <c r="Y136" s="376"/>
    </row>
    <row r="137" spans="1:41" s="408" customFormat="1" ht="15.75" x14ac:dyDescent="0.2">
      <c r="A137" s="371"/>
      <c r="B137" s="372"/>
      <c r="C137" s="372" t="s">
        <v>519</v>
      </c>
      <c r="D137" s="372" t="s">
        <v>201</v>
      </c>
      <c r="E137" s="373"/>
      <c r="F137" s="373"/>
      <c r="G137" s="373"/>
      <c r="H137" s="373">
        <v>6</v>
      </c>
      <c r="I137" s="373"/>
      <c r="J137" s="373"/>
      <c r="K137" s="373"/>
      <c r="L137" s="373"/>
      <c r="M137" s="373"/>
      <c r="N137" s="373"/>
      <c r="O137" s="373"/>
      <c r="P137" s="373"/>
      <c r="Q137" s="373"/>
      <c r="R137" s="373"/>
      <c r="S137" s="373"/>
      <c r="T137" s="373"/>
      <c r="U137" s="374">
        <f t="shared" si="35"/>
        <v>6</v>
      </c>
      <c r="V137" s="374">
        <v>1350</v>
      </c>
      <c r="W137" s="374">
        <f t="shared" si="53"/>
        <v>8100</v>
      </c>
      <c r="X137" s="375"/>
      <c r="Y137" s="376"/>
    </row>
    <row r="138" spans="1:41" s="408" customFormat="1" ht="15.75" x14ac:dyDescent="0.2">
      <c r="A138" s="371"/>
      <c r="B138" s="372">
        <v>4</v>
      </c>
      <c r="C138" s="372" t="s">
        <v>520</v>
      </c>
      <c r="D138" s="372" t="s">
        <v>199</v>
      </c>
      <c r="E138" s="373"/>
      <c r="F138" s="373"/>
      <c r="G138" s="373"/>
      <c r="H138" s="373">
        <f>10</f>
        <v>10</v>
      </c>
      <c r="I138" s="373"/>
      <c r="J138" s="373"/>
      <c r="K138" s="373"/>
      <c r="L138" s="373"/>
      <c r="M138" s="373"/>
      <c r="N138" s="373"/>
      <c r="O138" s="373"/>
      <c r="P138" s="373"/>
      <c r="Q138" s="373"/>
      <c r="R138" s="373"/>
      <c r="S138" s="373"/>
      <c r="T138" s="373"/>
      <c r="U138" s="374">
        <f t="shared" si="35"/>
        <v>10</v>
      </c>
      <c r="V138" s="374">
        <v>350</v>
      </c>
      <c r="W138" s="374">
        <f t="shared" si="53"/>
        <v>3500</v>
      </c>
      <c r="X138" s="375"/>
      <c r="Y138" s="376"/>
    </row>
    <row r="139" spans="1:41" s="408" customFormat="1" ht="15.75" x14ac:dyDescent="0.2">
      <c r="A139" s="371"/>
      <c r="B139" s="372"/>
      <c r="C139" s="372"/>
      <c r="D139" s="372"/>
      <c r="E139" s="373"/>
      <c r="F139" s="373"/>
      <c r="G139" s="373"/>
      <c r="H139" s="373"/>
      <c r="I139" s="373"/>
      <c r="J139" s="373"/>
      <c r="K139" s="373"/>
      <c r="L139" s="373"/>
      <c r="M139" s="373"/>
      <c r="N139" s="373"/>
      <c r="O139" s="373"/>
      <c r="P139" s="373"/>
      <c r="Q139" s="373"/>
      <c r="R139" s="373"/>
      <c r="S139" s="373"/>
      <c r="T139" s="373"/>
      <c r="U139" s="374">
        <f t="shared" si="35"/>
        <v>0</v>
      </c>
      <c r="V139" s="374"/>
      <c r="W139" s="374">
        <f t="shared" si="53"/>
        <v>0</v>
      </c>
      <c r="X139" s="375"/>
      <c r="Y139" s="376"/>
      <c r="Z139" s="408">
        <f t="shared" si="54"/>
        <v>0</v>
      </c>
      <c r="AA139" s="408">
        <f t="shared" si="55"/>
        <v>0</v>
      </c>
      <c r="AB139" s="408">
        <f t="shared" si="56"/>
        <v>0</v>
      </c>
      <c r="AC139" s="408">
        <f t="shared" si="57"/>
        <v>0</v>
      </c>
      <c r="AD139" s="408">
        <f t="shared" si="58"/>
        <v>0</v>
      </c>
      <c r="AE139" s="408">
        <f t="shared" si="59"/>
        <v>0</v>
      </c>
      <c r="AF139" s="408">
        <f t="shared" si="60"/>
        <v>0</v>
      </c>
      <c r="AG139" s="408">
        <f t="shared" si="61"/>
        <v>0</v>
      </c>
      <c r="AH139" s="408">
        <f t="shared" si="62"/>
        <v>0</v>
      </c>
      <c r="AI139" s="408">
        <f t="shared" si="63"/>
        <v>0</v>
      </c>
      <c r="AJ139" s="408">
        <f t="shared" si="64"/>
        <v>0</v>
      </c>
      <c r="AK139" s="408">
        <f t="shared" si="48"/>
        <v>0</v>
      </c>
      <c r="AL139" s="408">
        <f t="shared" si="65"/>
        <v>0</v>
      </c>
      <c r="AM139" s="408">
        <f t="shared" si="66"/>
        <v>0</v>
      </c>
      <c r="AN139" s="408">
        <f t="shared" si="67"/>
        <v>0</v>
      </c>
      <c r="AO139" s="408">
        <f t="shared" si="68"/>
        <v>0</v>
      </c>
    </row>
    <row r="140" spans="1:41" s="408" customFormat="1" ht="15.75" x14ac:dyDescent="0.2">
      <c r="A140" s="371">
        <v>43</v>
      </c>
      <c r="B140" s="453">
        <v>7239</v>
      </c>
      <c r="C140" s="372" t="s">
        <v>457</v>
      </c>
      <c r="D140" s="427" t="s">
        <v>204</v>
      </c>
      <c r="E140" s="373"/>
      <c r="F140" s="373"/>
      <c r="G140" s="373"/>
      <c r="H140" s="373"/>
      <c r="I140" s="373"/>
      <c r="J140" s="373"/>
      <c r="K140" s="373"/>
      <c r="L140" s="373"/>
      <c r="M140" s="373"/>
      <c r="N140" s="373"/>
      <c r="O140" s="373"/>
      <c r="P140" s="373"/>
      <c r="Q140" s="373"/>
      <c r="R140" s="373"/>
      <c r="S140" s="373"/>
      <c r="T140" s="373"/>
      <c r="U140" s="374">
        <f t="shared" si="35"/>
        <v>0</v>
      </c>
      <c r="V140" s="374">
        <v>215</v>
      </c>
      <c r="W140" s="374">
        <f t="shared" si="53"/>
        <v>0</v>
      </c>
      <c r="X140" s="375"/>
      <c r="Y140" s="376"/>
      <c r="Z140" s="408">
        <f t="shared" si="54"/>
        <v>0</v>
      </c>
      <c r="AA140" s="408">
        <f t="shared" si="55"/>
        <v>0</v>
      </c>
      <c r="AB140" s="408">
        <f t="shared" si="56"/>
        <v>0</v>
      </c>
      <c r="AC140" s="408">
        <f t="shared" si="57"/>
        <v>0</v>
      </c>
      <c r="AD140" s="408">
        <f t="shared" si="58"/>
        <v>0</v>
      </c>
      <c r="AE140" s="408">
        <f t="shared" si="59"/>
        <v>0</v>
      </c>
      <c r="AF140" s="408">
        <f t="shared" si="60"/>
        <v>0</v>
      </c>
      <c r="AG140" s="408">
        <f t="shared" si="61"/>
        <v>0</v>
      </c>
      <c r="AH140" s="408">
        <f t="shared" si="62"/>
        <v>0</v>
      </c>
      <c r="AI140" s="408">
        <f t="shared" si="63"/>
        <v>0</v>
      </c>
      <c r="AJ140" s="408">
        <f t="shared" si="64"/>
        <v>0</v>
      </c>
      <c r="AK140" s="408">
        <f t="shared" si="48"/>
        <v>0</v>
      </c>
      <c r="AL140" s="408">
        <f t="shared" si="65"/>
        <v>0</v>
      </c>
      <c r="AM140" s="408">
        <f t="shared" si="66"/>
        <v>0</v>
      </c>
      <c r="AN140" s="408">
        <f t="shared" si="67"/>
        <v>0</v>
      </c>
      <c r="AO140" s="408">
        <f t="shared" si="68"/>
        <v>0</v>
      </c>
    </row>
    <row r="141" spans="1:41" s="408" customFormat="1" ht="15.75" x14ac:dyDescent="0.2">
      <c r="A141" s="371"/>
      <c r="B141" s="454"/>
      <c r="C141" s="372"/>
      <c r="D141" s="427"/>
      <c r="E141" s="373"/>
      <c r="F141" s="373"/>
      <c r="G141" s="373"/>
      <c r="H141" s="373"/>
      <c r="I141" s="373"/>
      <c r="J141" s="373"/>
      <c r="K141" s="373"/>
      <c r="L141" s="373"/>
      <c r="M141" s="373"/>
      <c r="N141" s="373"/>
      <c r="O141" s="373"/>
      <c r="P141" s="373"/>
      <c r="Q141" s="373"/>
      <c r="R141" s="373"/>
      <c r="S141" s="373"/>
      <c r="T141" s="373"/>
      <c r="U141" s="374">
        <f t="shared" si="35"/>
        <v>0</v>
      </c>
      <c r="V141" s="374"/>
      <c r="W141" s="374">
        <f t="shared" si="53"/>
        <v>0</v>
      </c>
      <c r="X141" s="375"/>
      <c r="Y141" s="376"/>
      <c r="Z141" s="408">
        <f t="shared" si="54"/>
        <v>0</v>
      </c>
      <c r="AA141" s="408">
        <f t="shared" si="55"/>
        <v>0</v>
      </c>
      <c r="AB141" s="408">
        <f t="shared" si="56"/>
        <v>0</v>
      </c>
      <c r="AC141" s="408">
        <f t="shared" si="57"/>
        <v>0</v>
      </c>
      <c r="AD141" s="408">
        <f t="shared" si="58"/>
        <v>0</v>
      </c>
      <c r="AE141" s="408">
        <f t="shared" si="59"/>
        <v>0</v>
      </c>
      <c r="AF141" s="408">
        <f t="shared" si="60"/>
        <v>0</v>
      </c>
      <c r="AG141" s="408">
        <f t="shared" si="61"/>
        <v>0</v>
      </c>
      <c r="AH141" s="408">
        <f t="shared" si="62"/>
        <v>0</v>
      </c>
      <c r="AI141" s="408">
        <f t="shared" si="63"/>
        <v>0</v>
      </c>
      <c r="AJ141" s="408">
        <f t="shared" si="64"/>
        <v>0</v>
      </c>
      <c r="AK141" s="408">
        <f t="shared" si="48"/>
        <v>0</v>
      </c>
      <c r="AL141" s="408">
        <f t="shared" si="65"/>
        <v>0</v>
      </c>
      <c r="AM141" s="408">
        <f t="shared" si="66"/>
        <v>0</v>
      </c>
      <c r="AN141" s="408">
        <f t="shared" si="67"/>
        <v>0</v>
      </c>
      <c r="AO141" s="408">
        <f t="shared" si="68"/>
        <v>0</v>
      </c>
    </row>
    <row r="142" spans="1:41" s="408" customFormat="1" ht="15.75" x14ac:dyDescent="0.2">
      <c r="A142" s="371">
        <v>44</v>
      </c>
      <c r="B142" s="455">
        <v>1034</v>
      </c>
      <c r="C142" s="456" t="s">
        <v>205</v>
      </c>
      <c r="D142" s="427" t="s">
        <v>206</v>
      </c>
      <c r="E142" s="373"/>
      <c r="F142" s="373"/>
      <c r="G142" s="373"/>
      <c r="H142" s="373"/>
      <c r="I142" s="373"/>
      <c r="J142" s="373">
        <f>'FUEL YARD'!I74</f>
        <v>0.5</v>
      </c>
      <c r="K142" s="373">
        <f>'PIPE RACK FOUNDATION '!H56</f>
        <v>10</v>
      </c>
      <c r="L142" s="373"/>
      <c r="M142" s="373">
        <f>'DG FOUNDATION '!H86+'DG FOUNDATION '!H92</f>
        <v>0.30000000000000004</v>
      </c>
      <c r="N142" s="373">
        <f>'CHIMNEY BOILER  FOUNDATION '!I135</f>
        <v>0.5</v>
      </c>
      <c r="O142" s="373">
        <f>'HT YARD WITH CABLE TRENCH '!H60</f>
        <v>0.5</v>
      </c>
      <c r="P142" s="373">
        <f>'ELECTRICAL LINE FOUNDATION '!H30</f>
        <v>0.75</v>
      </c>
      <c r="Q142" s="373">
        <f>'PARKING '!H52</f>
        <v>1</v>
      </c>
      <c r="R142" s="373"/>
      <c r="S142" s="373"/>
      <c r="T142" s="373"/>
      <c r="U142" s="374">
        <f t="shared" si="35"/>
        <v>13.55</v>
      </c>
      <c r="V142" s="374">
        <v>5200</v>
      </c>
      <c r="W142" s="374">
        <f t="shared" si="53"/>
        <v>70460</v>
      </c>
      <c r="X142" s="375"/>
      <c r="Y142" s="376"/>
      <c r="Z142" s="408">
        <f t="shared" si="54"/>
        <v>0</v>
      </c>
      <c r="AA142" s="408">
        <f t="shared" si="55"/>
        <v>0</v>
      </c>
      <c r="AB142" s="408">
        <f t="shared" si="56"/>
        <v>0</v>
      </c>
      <c r="AC142" s="408">
        <f t="shared" si="57"/>
        <v>0</v>
      </c>
      <c r="AD142" s="408">
        <f t="shared" si="58"/>
        <v>0</v>
      </c>
      <c r="AE142" s="408">
        <f t="shared" si="59"/>
        <v>2600</v>
      </c>
      <c r="AF142" s="408">
        <f t="shared" si="60"/>
        <v>52000</v>
      </c>
      <c r="AG142" s="408">
        <f t="shared" si="61"/>
        <v>0</v>
      </c>
      <c r="AH142" s="408">
        <f t="shared" si="62"/>
        <v>1560.0000000000002</v>
      </c>
      <c r="AI142" s="408">
        <f t="shared" si="63"/>
        <v>2600</v>
      </c>
      <c r="AJ142" s="408">
        <f t="shared" si="64"/>
        <v>2600</v>
      </c>
      <c r="AK142" s="408">
        <f t="shared" si="48"/>
        <v>3900</v>
      </c>
      <c r="AL142" s="408">
        <f t="shared" si="65"/>
        <v>5200</v>
      </c>
      <c r="AM142" s="408">
        <f t="shared" si="66"/>
        <v>0</v>
      </c>
      <c r="AN142" s="408">
        <f t="shared" si="67"/>
        <v>0</v>
      </c>
      <c r="AO142" s="408">
        <f t="shared" si="68"/>
        <v>0</v>
      </c>
    </row>
    <row r="143" spans="1:41" s="408" customFormat="1" ht="63" x14ac:dyDescent="0.25">
      <c r="A143" s="371">
        <v>45</v>
      </c>
      <c r="B143" s="431">
        <v>26.35</v>
      </c>
      <c r="C143" s="372" t="s">
        <v>148</v>
      </c>
      <c r="D143" s="428"/>
      <c r="E143" s="373"/>
      <c r="F143" s="373"/>
      <c r="G143" s="373"/>
      <c r="H143" s="373"/>
      <c r="I143" s="373"/>
      <c r="J143" s="373"/>
      <c r="K143" s="373"/>
      <c r="L143" s="373"/>
      <c r="M143" s="373"/>
      <c r="N143" s="373"/>
      <c r="O143" s="373"/>
      <c r="P143" s="373"/>
      <c r="Q143" s="373"/>
      <c r="R143" s="373"/>
      <c r="S143" s="373"/>
      <c r="T143" s="373"/>
      <c r="U143" s="374">
        <f t="shared" si="35"/>
        <v>0</v>
      </c>
      <c r="V143" s="374"/>
      <c r="W143" s="374">
        <f t="shared" si="53"/>
        <v>0</v>
      </c>
      <c r="X143" s="375"/>
      <c r="Y143" s="376"/>
      <c r="Z143" s="408">
        <f t="shared" si="54"/>
        <v>0</v>
      </c>
      <c r="AA143" s="408">
        <f t="shared" si="55"/>
        <v>0</v>
      </c>
      <c r="AB143" s="408">
        <f t="shared" si="56"/>
        <v>0</v>
      </c>
      <c r="AC143" s="408">
        <f t="shared" si="57"/>
        <v>0</v>
      </c>
      <c r="AD143" s="408">
        <f t="shared" si="58"/>
        <v>0</v>
      </c>
      <c r="AE143" s="408">
        <f t="shared" si="59"/>
        <v>0</v>
      </c>
      <c r="AF143" s="408">
        <f t="shared" si="60"/>
        <v>0</v>
      </c>
      <c r="AG143" s="408">
        <f t="shared" si="61"/>
        <v>0</v>
      </c>
      <c r="AH143" s="408">
        <f t="shared" si="62"/>
        <v>0</v>
      </c>
      <c r="AI143" s="408">
        <f t="shared" si="63"/>
        <v>0</v>
      </c>
      <c r="AJ143" s="408">
        <f t="shared" si="64"/>
        <v>0</v>
      </c>
      <c r="AK143" s="408">
        <f t="shared" si="48"/>
        <v>0</v>
      </c>
      <c r="AL143" s="408">
        <f t="shared" si="65"/>
        <v>0</v>
      </c>
      <c r="AM143" s="408">
        <f t="shared" si="66"/>
        <v>0</v>
      </c>
      <c r="AN143" s="408">
        <f t="shared" si="67"/>
        <v>0</v>
      </c>
      <c r="AO143" s="408">
        <f t="shared" si="68"/>
        <v>0</v>
      </c>
    </row>
    <row r="144" spans="1:41" s="408" customFormat="1" ht="15.75" x14ac:dyDescent="0.2">
      <c r="A144" s="371"/>
      <c r="B144" s="431" t="s">
        <v>149</v>
      </c>
      <c r="C144" s="372" t="s">
        <v>150</v>
      </c>
      <c r="D144" s="427" t="s">
        <v>112</v>
      </c>
      <c r="E144" s="373"/>
      <c r="F144" s="373"/>
      <c r="G144" s="373"/>
      <c r="H144" s="373"/>
      <c r="I144" s="373">
        <v>150</v>
      </c>
      <c r="J144" s="373"/>
      <c r="K144" s="373"/>
      <c r="L144" s="373"/>
      <c r="M144" s="373"/>
      <c r="N144" s="373"/>
      <c r="O144" s="373"/>
      <c r="P144" s="373"/>
      <c r="Q144" s="373"/>
      <c r="R144" s="373"/>
      <c r="S144" s="373"/>
      <c r="T144" s="373"/>
      <c r="U144" s="374">
        <f t="shared" si="35"/>
        <v>150</v>
      </c>
      <c r="V144" s="374">
        <v>793.3</v>
      </c>
      <c r="W144" s="374">
        <f t="shared" si="53"/>
        <v>118995</v>
      </c>
      <c r="X144" s="375"/>
      <c r="Y144" s="376"/>
      <c r="Z144" s="408">
        <f t="shared" si="54"/>
        <v>0</v>
      </c>
      <c r="AA144" s="408">
        <f t="shared" si="55"/>
        <v>0</v>
      </c>
      <c r="AB144" s="408">
        <f t="shared" si="56"/>
        <v>0</v>
      </c>
      <c r="AC144" s="408">
        <f t="shared" si="57"/>
        <v>0</v>
      </c>
      <c r="AD144" s="408">
        <f t="shared" si="58"/>
        <v>118995</v>
      </c>
      <c r="AE144" s="408">
        <f t="shared" si="59"/>
        <v>0</v>
      </c>
      <c r="AF144" s="408">
        <f t="shared" si="60"/>
        <v>0</v>
      </c>
      <c r="AG144" s="408">
        <f t="shared" si="61"/>
        <v>0</v>
      </c>
      <c r="AH144" s="408">
        <f t="shared" si="62"/>
        <v>0</v>
      </c>
      <c r="AI144" s="408">
        <f t="shared" si="63"/>
        <v>0</v>
      </c>
      <c r="AJ144" s="408">
        <f t="shared" si="64"/>
        <v>0</v>
      </c>
      <c r="AK144" s="408">
        <f t="shared" si="48"/>
        <v>0</v>
      </c>
      <c r="AL144" s="408">
        <f t="shared" si="65"/>
        <v>0</v>
      </c>
      <c r="AM144" s="408">
        <f t="shared" si="66"/>
        <v>0</v>
      </c>
      <c r="AN144" s="408">
        <f t="shared" si="67"/>
        <v>0</v>
      </c>
      <c r="AO144" s="408">
        <f t="shared" si="68"/>
        <v>0</v>
      </c>
    </row>
    <row r="145" spans="1:41" s="408" customFormat="1" ht="15.75" x14ac:dyDescent="0.25">
      <c r="A145" s="371"/>
      <c r="B145" s="451"/>
      <c r="C145" s="452"/>
      <c r="D145" s="452"/>
      <c r="E145" s="373"/>
      <c r="F145" s="373"/>
      <c r="G145" s="373"/>
      <c r="H145" s="373"/>
      <c r="I145" s="373"/>
      <c r="J145" s="373"/>
      <c r="K145" s="373"/>
      <c r="L145" s="373"/>
      <c r="M145" s="373"/>
      <c r="N145" s="373"/>
      <c r="O145" s="373"/>
      <c r="P145" s="373"/>
      <c r="Q145" s="373"/>
      <c r="R145" s="373"/>
      <c r="S145" s="373"/>
      <c r="T145" s="373"/>
      <c r="U145" s="374">
        <f t="shared" si="35"/>
        <v>0</v>
      </c>
      <c r="V145" s="374"/>
      <c r="W145" s="374">
        <f t="shared" si="53"/>
        <v>0</v>
      </c>
      <c r="X145" s="375"/>
      <c r="Y145" s="376"/>
      <c r="Z145" s="408">
        <f t="shared" si="54"/>
        <v>0</v>
      </c>
      <c r="AA145" s="408">
        <f t="shared" si="55"/>
        <v>0</v>
      </c>
      <c r="AB145" s="408">
        <f t="shared" si="56"/>
        <v>0</v>
      </c>
      <c r="AC145" s="408">
        <f t="shared" si="57"/>
        <v>0</v>
      </c>
      <c r="AD145" s="408">
        <f t="shared" si="58"/>
        <v>0</v>
      </c>
      <c r="AE145" s="408">
        <f t="shared" si="59"/>
        <v>0</v>
      </c>
      <c r="AF145" s="408">
        <f t="shared" si="60"/>
        <v>0</v>
      </c>
      <c r="AG145" s="408">
        <f t="shared" si="61"/>
        <v>0</v>
      </c>
      <c r="AH145" s="408">
        <f t="shared" si="62"/>
        <v>0</v>
      </c>
      <c r="AI145" s="408">
        <f t="shared" si="63"/>
        <v>0</v>
      </c>
      <c r="AJ145" s="408">
        <f t="shared" si="64"/>
        <v>0</v>
      </c>
      <c r="AK145" s="408">
        <f t="shared" si="48"/>
        <v>0</v>
      </c>
      <c r="AL145" s="408">
        <f t="shared" si="65"/>
        <v>0</v>
      </c>
      <c r="AM145" s="408">
        <f t="shared" si="66"/>
        <v>0</v>
      </c>
      <c r="AN145" s="408">
        <f t="shared" si="67"/>
        <v>0</v>
      </c>
      <c r="AO145" s="408">
        <f t="shared" si="68"/>
        <v>0</v>
      </c>
    </row>
    <row r="146" spans="1:41" s="408" customFormat="1" ht="94.5" x14ac:dyDescent="0.2">
      <c r="A146" s="371">
        <v>46</v>
      </c>
      <c r="B146" s="457" t="s">
        <v>207</v>
      </c>
      <c r="C146" s="372" t="s">
        <v>208</v>
      </c>
      <c r="D146" s="427"/>
      <c r="E146" s="373"/>
      <c r="F146" s="373"/>
      <c r="G146" s="373"/>
      <c r="H146" s="373"/>
      <c r="I146" s="373"/>
      <c r="J146" s="373"/>
      <c r="K146" s="373"/>
      <c r="L146" s="373"/>
      <c r="M146" s="373"/>
      <c r="N146" s="373"/>
      <c r="O146" s="373"/>
      <c r="P146" s="373"/>
      <c r="Q146" s="373"/>
      <c r="R146" s="373"/>
      <c r="S146" s="373"/>
      <c r="T146" s="373"/>
      <c r="U146" s="374">
        <f t="shared" si="35"/>
        <v>0</v>
      </c>
      <c r="V146" s="374"/>
      <c r="W146" s="374">
        <f t="shared" si="53"/>
        <v>0</v>
      </c>
      <c r="X146" s="375"/>
      <c r="Y146" s="376"/>
      <c r="Z146" s="408">
        <f t="shared" si="54"/>
        <v>0</v>
      </c>
      <c r="AA146" s="408">
        <f t="shared" si="55"/>
        <v>0</v>
      </c>
      <c r="AB146" s="408">
        <f t="shared" si="56"/>
        <v>0</v>
      </c>
      <c r="AC146" s="408">
        <f t="shared" si="57"/>
        <v>0</v>
      </c>
      <c r="AD146" s="408">
        <f t="shared" si="58"/>
        <v>0</v>
      </c>
      <c r="AE146" s="408">
        <f t="shared" si="59"/>
        <v>0</v>
      </c>
      <c r="AF146" s="408">
        <f t="shared" si="60"/>
        <v>0</v>
      </c>
      <c r="AG146" s="408">
        <f t="shared" si="61"/>
        <v>0</v>
      </c>
      <c r="AH146" s="408">
        <f t="shared" si="62"/>
        <v>0</v>
      </c>
      <c r="AI146" s="408">
        <f t="shared" si="63"/>
        <v>0</v>
      </c>
      <c r="AJ146" s="408">
        <f t="shared" si="64"/>
        <v>0</v>
      </c>
      <c r="AK146" s="408">
        <f t="shared" si="48"/>
        <v>0</v>
      </c>
      <c r="AL146" s="408">
        <f t="shared" si="65"/>
        <v>0</v>
      </c>
      <c r="AM146" s="408">
        <f t="shared" si="66"/>
        <v>0</v>
      </c>
      <c r="AN146" s="408">
        <f t="shared" si="67"/>
        <v>0</v>
      </c>
      <c r="AO146" s="408">
        <f t="shared" si="68"/>
        <v>0</v>
      </c>
    </row>
    <row r="147" spans="1:41" s="408" customFormat="1" ht="15.75" x14ac:dyDescent="0.2">
      <c r="A147" s="371"/>
      <c r="B147" s="360"/>
      <c r="C147" s="372"/>
      <c r="D147" s="427" t="s">
        <v>112</v>
      </c>
      <c r="E147" s="373"/>
      <c r="F147" s="373"/>
      <c r="G147" s="373"/>
      <c r="H147" s="373"/>
      <c r="I147" s="373"/>
      <c r="J147" s="373">
        <f>'FUEL YARD'!I102</f>
        <v>100</v>
      </c>
      <c r="K147" s="373"/>
      <c r="L147" s="373"/>
      <c r="M147" s="373">
        <f>'DG FOUNDATION '!H83</f>
        <v>6760</v>
      </c>
      <c r="N147" s="373"/>
      <c r="O147" s="373"/>
      <c r="P147" s="373"/>
      <c r="Q147" s="373"/>
      <c r="R147" s="373"/>
      <c r="S147" s="373"/>
      <c r="T147" s="373"/>
      <c r="U147" s="374">
        <f t="shared" si="35"/>
        <v>6860</v>
      </c>
      <c r="V147" s="374">
        <v>120</v>
      </c>
      <c r="W147" s="374">
        <f t="shared" si="53"/>
        <v>823200</v>
      </c>
      <c r="X147" s="375"/>
      <c r="Y147" s="376"/>
      <c r="Z147" s="408">
        <f t="shared" si="54"/>
        <v>0</v>
      </c>
      <c r="AA147" s="408">
        <f t="shared" si="55"/>
        <v>0</v>
      </c>
      <c r="AB147" s="408">
        <f t="shared" si="56"/>
        <v>0</v>
      </c>
      <c r="AC147" s="408">
        <f t="shared" si="57"/>
        <v>0</v>
      </c>
      <c r="AD147" s="408">
        <f t="shared" si="58"/>
        <v>0</v>
      </c>
      <c r="AE147" s="408">
        <f t="shared" si="59"/>
        <v>12000</v>
      </c>
      <c r="AF147" s="408">
        <f t="shared" si="60"/>
        <v>0</v>
      </c>
      <c r="AG147" s="408">
        <f t="shared" si="61"/>
        <v>0</v>
      </c>
      <c r="AH147" s="408">
        <f t="shared" si="62"/>
        <v>811200</v>
      </c>
      <c r="AI147" s="408">
        <f t="shared" si="63"/>
        <v>0</v>
      </c>
      <c r="AJ147" s="408">
        <f t="shared" si="64"/>
        <v>0</v>
      </c>
      <c r="AK147" s="408">
        <f t="shared" si="48"/>
        <v>0</v>
      </c>
      <c r="AL147" s="408">
        <f t="shared" si="65"/>
        <v>0</v>
      </c>
      <c r="AM147" s="408">
        <f t="shared" si="66"/>
        <v>0</v>
      </c>
      <c r="AN147" s="408">
        <f t="shared" si="67"/>
        <v>0</v>
      </c>
      <c r="AO147" s="408">
        <f t="shared" si="68"/>
        <v>0</v>
      </c>
    </row>
    <row r="148" spans="1:41" s="408" customFormat="1" ht="15.75" x14ac:dyDescent="0.2">
      <c r="A148" s="371"/>
      <c r="B148" s="360"/>
      <c r="C148" s="372"/>
      <c r="D148" s="427"/>
      <c r="E148" s="373"/>
      <c r="F148" s="373"/>
      <c r="G148" s="373"/>
      <c r="H148" s="373"/>
      <c r="I148" s="373"/>
      <c r="J148" s="373"/>
      <c r="K148" s="373"/>
      <c r="L148" s="373"/>
      <c r="M148" s="373"/>
      <c r="N148" s="373"/>
      <c r="O148" s="373"/>
      <c r="P148" s="373"/>
      <c r="Q148" s="373"/>
      <c r="R148" s="373"/>
      <c r="S148" s="373"/>
      <c r="T148" s="373"/>
      <c r="U148" s="374">
        <f t="shared" ref="U148:U211" si="69">SUM(E148:T148)</f>
        <v>0</v>
      </c>
      <c r="V148" s="374"/>
      <c r="W148" s="374">
        <f t="shared" ref="W148:W179" si="70">U148*V148</f>
        <v>0</v>
      </c>
      <c r="X148" s="375"/>
      <c r="Y148" s="376"/>
      <c r="Z148" s="408">
        <f t="shared" ref="Z148:Z179" si="71">V148*E148</f>
        <v>0</v>
      </c>
      <c r="AA148" s="408">
        <f t="shared" ref="AA148:AA179" si="72">V148*F148</f>
        <v>0</v>
      </c>
      <c r="AB148" s="408">
        <f t="shared" ref="AB148:AB179" si="73">V148*G148</f>
        <v>0</v>
      </c>
      <c r="AC148" s="408">
        <f t="shared" ref="AC148:AC179" si="74">V148*H148</f>
        <v>0</v>
      </c>
      <c r="AD148" s="408">
        <f t="shared" ref="AD148:AD179" si="75">V148*I148</f>
        <v>0</v>
      </c>
      <c r="AE148" s="408">
        <f t="shared" ref="AE148:AE179" si="76">V148*J148</f>
        <v>0</v>
      </c>
      <c r="AF148" s="408">
        <f t="shared" ref="AF148:AF179" si="77">V148*K148</f>
        <v>0</v>
      </c>
      <c r="AG148" s="408">
        <f t="shared" ref="AG148:AG179" si="78">V148*L148</f>
        <v>0</v>
      </c>
      <c r="AH148" s="408">
        <f t="shared" ref="AH148:AH179" si="79">V148*M148</f>
        <v>0</v>
      </c>
      <c r="AI148" s="408">
        <f t="shared" ref="AI148:AI179" si="80">V148*N148</f>
        <v>0</v>
      </c>
      <c r="AJ148" s="408">
        <f t="shared" ref="AJ148:AJ179" si="81">V148*O148</f>
        <v>0</v>
      </c>
      <c r="AK148" s="408">
        <f t="shared" ref="AK148:AK211" si="82">V148*P148</f>
        <v>0</v>
      </c>
      <c r="AL148" s="408">
        <f t="shared" ref="AL148:AL179" si="83">V148*Q148</f>
        <v>0</v>
      </c>
      <c r="AM148" s="408">
        <f t="shared" ref="AM148:AM179" si="84">V148*R148</f>
        <v>0</v>
      </c>
      <c r="AN148" s="408">
        <f t="shared" ref="AN148:AN179" si="85">V148*S148</f>
        <v>0</v>
      </c>
      <c r="AO148" s="408">
        <f t="shared" ref="AO148:AO179" si="86">V148*T148</f>
        <v>0</v>
      </c>
    </row>
    <row r="149" spans="1:41" s="408" customFormat="1" ht="63" x14ac:dyDescent="0.2">
      <c r="A149" s="371">
        <v>47</v>
      </c>
      <c r="B149" s="458" t="s">
        <v>207</v>
      </c>
      <c r="C149" s="456" t="s">
        <v>209</v>
      </c>
      <c r="D149" s="427"/>
      <c r="E149" s="373"/>
      <c r="F149" s="373"/>
      <c r="G149" s="373"/>
      <c r="H149" s="373"/>
      <c r="I149" s="373"/>
      <c r="J149" s="373"/>
      <c r="K149" s="373"/>
      <c r="L149" s="373"/>
      <c r="M149" s="373"/>
      <c r="N149" s="373"/>
      <c r="O149" s="373"/>
      <c r="P149" s="373"/>
      <c r="Q149" s="373"/>
      <c r="R149" s="373"/>
      <c r="S149" s="373"/>
      <c r="T149" s="373"/>
      <c r="U149" s="374">
        <f t="shared" si="69"/>
        <v>0</v>
      </c>
      <c r="V149" s="374"/>
      <c r="W149" s="374">
        <f t="shared" si="70"/>
        <v>0</v>
      </c>
      <c r="X149" s="375"/>
      <c r="Y149" s="376"/>
      <c r="Z149" s="408">
        <f t="shared" si="71"/>
        <v>0</v>
      </c>
      <c r="AA149" s="408">
        <f t="shared" si="72"/>
        <v>0</v>
      </c>
      <c r="AB149" s="408">
        <f t="shared" si="73"/>
        <v>0</v>
      </c>
      <c r="AC149" s="408">
        <f t="shared" si="74"/>
        <v>0</v>
      </c>
      <c r="AD149" s="408">
        <f t="shared" si="75"/>
        <v>0</v>
      </c>
      <c r="AE149" s="408">
        <f t="shared" si="76"/>
        <v>0</v>
      </c>
      <c r="AF149" s="408">
        <f t="shared" si="77"/>
        <v>0</v>
      </c>
      <c r="AG149" s="408">
        <f t="shared" si="78"/>
        <v>0</v>
      </c>
      <c r="AH149" s="408">
        <f t="shared" si="79"/>
        <v>0</v>
      </c>
      <c r="AI149" s="408">
        <f t="shared" si="80"/>
        <v>0</v>
      </c>
      <c r="AJ149" s="408">
        <f t="shared" si="81"/>
        <v>0</v>
      </c>
      <c r="AK149" s="408">
        <f t="shared" si="82"/>
        <v>0</v>
      </c>
      <c r="AL149" s="408">
        <f t="shared" si="83"/>
        <v>0</v>
      </c>
      <c r="AM149" s="408">
        <f t="shared" si="84"/>
        <v>0</v>
      </c>
      <c r="AN149" s="408">
        <f t="shared" si="85"/>
        <v>0</v>
      </c>
      <c r="AO149" s="408">
        <f t="shared" si="86"/>
        <v>0</v>
      </c>
    </row>
    <row r="150" spans="1:41" s="408" customFormat="1" ht="15.75" x14ac:dyDescent="0.2">
      <c r="A150" s="371"/>
      <c r="B150" s="459">
        <v>5774</v>
      </c>
      <c r="C150" s="372" t="s">
        <v>210</v>
      </c>
      <c r="D150" s="427" t="s">
        <v>211</v>
      </c>
      <c r="E150" s="373"/>
      <c r="F150" s="373"/>
      <c r="G150" s="373"/>
      <c r="H150" s="373"/>
      <c r="I150" s="373"/>
      <c r="J150" s="373">
        <f>'FUEL YARD'!I105</f>
        <v>10</v>
      </c>
      <c r="K150" s="373"/>
      <c r="L150" s="373"/>
      <c r="M150" s="373">
        <f>'DG FOUNDATION '!H85</f>
        <v>50</v>
      </c>
      <c r="N150" s="373"/>
      <c r="O150" s="373"/>
      <c r="P150" s="373"/>
      <c r="Q150" s="373">
        <f>'PARKING '!H86</f>
        <v>100</v>
      </c>
      <c r="R150" s="373"/>
      <c r="S150" s="373"/>
      <c r="T150" s="373"/>
      <c r="U150" s="374">
        <f t="shared" si="69"/>
        <v>160</v>
      </c>
      <c r="V150" s="374">
        <v>20</v>
      </c>
      <c r="W150" s="374">
        <f t="shared" si="70"/>
        <v>3200</v>
      </c>
      <c r="X150" s="375"/>
      <c r="Y150" s="376"/>
      <c r="Z150" s="408">
        <f t="shared" si="71"/>
        <v>0</v>
      </c>
      <c r="AA150" s="408">
        <f t="shared" si="72"/>
        <v>0</v>
      </c>
      <c r="AB150" s="408">
        <f t="shared" si="73"/>
        <v>0</v>
      </c>
      <c r="AC150" s="408">
        <f t="shared" si="74"/>
        <v>0</v>
      </c>
      <c r="AD150" s="408">
        <f t="shared" si="75"/>
        <v>0</v>
      </c>
      <c r="AE150" s="408">
        <f t="shared" si="76"/>
        <v>200</v>
      </c>
      <c r="AF150" s="408">
        <f t="shared" si="77"/>
        <v>0</v>
      </c>
      <c r="AG150" s="408">
        <f t="shared" si="78"/>
        <v>0</v>
      </c>
      <c r="AH150" s="408">
        <f t="shared" si="79"/>
        <v>1000</v>
      </c>
      <c r="AI150" s="408">
        <f t="shared" si="80"/>
        <v>0</v>
      </c>
      <c r="AJ150" s="408">
        <f t="shared" si="81"/>
        <v>0</v>
      </c>
      <c r="AK150" s="408">
        <f t="shared" si="82"/>
        <v>0</v>
      </c>
      <c r="AL150" s="408">
        <f t="shared" si="83"/>
        <v>2000</v>
      </c>
      <c r="AM150" s="408">
        <f t="shared" si="84"/>
        <v>0</v>
      </c>
      <c r="AN150" s="408">
        <f t="shared" si="85"/>
        <v>0</v>
      </c>
      <c r="AO150" s="408">
        <f t="shared" si="86"/>
        <v>0</v>
      </c>
    </row>
    <row r="151" spans="1:41" s="408" customFormat="1" ht="15.75" x14ac:dyDescent="0.2">
      <c r="A151" s="371"/>
      <c r="B151" s="459"/>
      <c r="C151" s="372"/>
      <c r="D151" s="427"/>
      <c r="E151" s="373"/>
      <c r="F151" s="373"/>
      <c r="G151" s="373"/>
      <c r="H151" s="373"/>
      <c r="I151" s="373"/>
      <c r="J151" s="373"/>
      <c r="K151" s="373"/>
      <c r="L151" s="373"/>
      <c r="M151" s="373"/>
      <c r="N151" s="373"/>
      <c r="O151" s="373"/>
      <c r="P151" s="373"/>
      <c r="Q151" s="373"/>
      <c r="R151" s="373"/>
      <c r="S151" s="373"/>
      <c r="T151" s="373"/>
      <c r="U151" s="374">
        <f t="shared" si="69"/>
        <v>0</v>
      </c>
      <c r="V151" s="374"/>
      <c r="W151" s="374">
        <f t="shared" si="70"/>
        <v>0</v>
      </c>
      <c r="X151" s="375"/>
      <c r="Y151" s="376"/>
      <c r="Z151" s="408">
        <f t="shared" si="71"/>
        <v>0</v>
      </c>
      <c r="AA151" s="408">
        <f t="shared" si="72"/>
        <v>0</v>
      </c>
      <c r="AB151" s="408">
        <f t="shared" si="73"/>
        <v>0</v>
      </c>
      <c r="AC151" s="408">
        <f t="shared" si="74"/>
        <v>0</v>
      </c>
      <c r="AD151" s="408">
        <f t="shared" si="75"/>
        <v>0</v>
      </c>
      <c r="AE151" s="408">
        <f t="shared" si="76"/>
        <v>0</v>
      </c>
      <c r="AF151" s="408">
        <f t="shared" si="77"/>
        <v>0</v>
      </c>
      <c r="AG151" s="408">
        <f t="shared" si="78"/>
        <v>0</v>
      </c>
      <c r="AH151" s="408">
        <f t="shared" si="79"/>
        <v>0</v>
      </c>
      <c r="AI151" s="408">
        <f t="shared" si="80"/>
        <v>0</v>
      </c>
      <c r="AJ151" s="408">
        <f t="shared" si="81"/>
        <v>0</v>
      </c>
      <c r="AK151" s="408">
        <f t="shared" si="82"/>
        <v>0</v>
      </c>
      <c r="AL151" s="408">
        <f t="shared" si="83"/>
        <v>0</v>
      </c>
      <c r="AM151" s="408">
        <f t="shared" si="84"/>
        <v>0</v>
      </c>
      <c r="AN151" s="408">
        <f t="shared" si="85"/>
        <v>0</v>
      </c>
      <c r="AO151" s="408">
        <f t="shared" si="86"/>
        <v>0</v>
      </c>
    </row>
    <row r="152" spans="1:41" s="408" customFormat="1" ht="63" x14ac:dyDescent="0.2">
      <c r="A152" s="371">
        <v>48</v>
      </c>
      <c r="B152" s="458" t="s">
        <v>70</v>
      </c>
      <c r="C152" s="372" t="s">
        <v>461</v>
      </c>
      <c r="D152" s="450"/>
      <c r="E152" s="373"/>
      <c r="F152" s="373"/>
      <c r="G152" s="373"/>
      <c r="H152" s="373"/>
      <c r="I152" s="373"/>
      <c r="J152" s="373"/>
      <c r="K152" s="373"/>
      <c r="L152" s="373"/>
      <c r="M152" s="373"/>
      <c r="N152" s="373"/>
      <c r="O152" s="373"/>
      <c r="P152" s="373"/>
      <c r="Q152" s="373"/>
      <c r="R152" s="373"/>
      <c r="S152" s="373"/>
      <c r="T152" s="373"/>
      <c r="U152" s="374">
        <f t="shared" si="69"/>
        <v>0</v>
      </c>
      <c r="V152" s="374"/>
      <c r="W152" s="374">
        <f t="shared" si="70"/>
        <v>0</v>
      </c>
      <c r="X152" s="375"/>
      <c r="Y152" s="376"/>
      <c r="Z152" s="408">
        <f t="shared" si="71"/>
        <v>0</v>
      </c>
      <c r="AA152" s="408">
        <f t="shared" si="72"/>
        <v>0</v>
      </c>
      <c r="AB152" s="408">
        <f t="shared" si="73"/>
        <v>0</v>
      </c>
      <c r="AC152" s="408">
        <f t="shared" si="74"/>
        <v>0</v>
      </c>
      <c r="AD152" s="408">
        <f t="shared" si="75"/>
        <v>0</v>
      </c>
      <c r="AE152" s="408">
        <f t="shared" si="76"/>
        <v>0</v>
      </c>
      <c r="AF152" s="408">
        <f t="shared" si="77"/>
        <v>0</v>
      </c>
      <c r="AG152" s="408">
        <f t="shared" si="78"/>
        <v>0</v>
      </c>
      <c r="AH152" s="408">
        <f t="shared" si="79"/>
        <v>0</v>
      </c>
      <c r="AI152" s="408">
        <f t="shared" si="80"/>
        <v>0</v>
      </c>
      <c r="AJ152" s="408">
        <f t="shared" si="81"/>
        <v>0</v>
      </c>
      <c r="AK152" s="408">
        <f t="shared" si="82"/>
        <v>0</v>
      </c>
      <c r="AL152" s="408">
        <f t="shared" si="83"/>
        <v>0</v>
      </c>
      <c r="AM152" s="408">
        <f t="shared" si="84"/>
        <v>0</v>
      </c>
      <c r="AN152" s="408">
        <f t="shared" si="85"/>
        <v>0</v>
      </c>
      <c r="AO152" s="408">
        <f t="shared" si="86"/>
        <v>0</v>
      </c>
    </row>
    <row r="153" spans="1:41" s="408" customFormat="1" ht="15.75" x14ac:dyDescent="0.2">
      <c r="A153" s="371"/>
      <c r="B153" s="458"/>
      <c r="C153" s="372" t="s">
        <v>213</v>
      </c>
      <c r="D153" s="450" t="s">
        <v>147</v>
      </c>
      <c r="E153" s="373"/>
      <c r="F153" s="373"/>
      <c r="G153" s="373"/>
      <c r="H153" s="373"/>
      <c r="I153" s="373"/>
      <c r="J153" s="373"/>
      <c r="K153" s="373"/>
      <c r="L153" s="373"/>
      <c r="M153" s="373"/>
      <c r="N153" s="373"/>
      <c r="O153" s="373"/>
      <c r="P153" s="373"/>
      <c r="Q153" s="373">
        <f>'PARKING '!H93</f>
        <v>90</v>
      </c>
      <c r="R153" s="373"/>
      <c r="S153" s="373"/>
      <c r="T153" s="373"/>
      <c r="U153" s="374">
        <f t="shared" si="69"/>
        <v>90</v>
      </c>
      <c r="V153" s="374">
        <v>320</v>
      </c>
      <c r="W153" s="374">
        <f t="shared" si="70"/>
        <v>28800</v>
      </c>
      <c r="X153" s="375"/>
      <c r="Y153" s="376"/>
      <c r="Z153" s="408">
        <f t="shared" si="71"/>
        <v>0</v>
      </c>
      <c r="AA153" s="408">
        <f t="shared" si="72"/>
        <v>0</v>
      </c>
      <c r="AB153" s="408">
        <f t="shared" si="73"/>
        <v>0</v>
      </c>
      <c r="AC153" s="408">
        <f t="shared" si="74"/>
        <v>0</v>
      </c>
      <c r="AD153" s="408">
        <f t="shared" si="75"/>
        <v>0</v>
      </c>
      <c r="AE153" s="408">
        <f t="shared" si="76"/>
        <v>0</v>
      </c>
      <c r="AF153" s="408">
        <f t="shared" si="77"/>
        <v>0</v>
      </c>
      <c r="AG153" s="408">
        <f t="shared" si="78"/>
        <v>0</v>
      </c>
      <c r="AH153" s="408">
        <f t="shared" si="79"/>
        <v>0</v>
      </c>
      <c r="AI153" s="408">
        <f t="shared" si="80"/>
        <v>0</v>
      </c>
      <c r="AJ153" s="408">
        <f t="shared" si="81"/>
        <v>0</v>
      </c>
      <c r="AK153" s="408">
        <f t="shared" si="82"/>
        <v>0</v>
      </c>
      <c r="AL153" s="408">
        <f t="shared" si="83"/>
        <v>28800</v>
      </c>
      <c r="AM153" s="408">
        <f t="shared" si="84"/>
        <v>0</v>
      </c>
      <c r="AN153" s="408">
        <f t="shared" si="85"/>
        <v>0</v>
      </c>
      <c r="AO153" s="408">
        <f t="shared" si="86"/>
        <v>0</v>
      </c>
    </row>
    <row r="154" spans="1:41" s="408" customFormat="1" ht="15.75" x14ac:dyDescent="0.2">
      <c r="A154" s="371"/>
      <c r="B154" s="458"/>
      <c r="C154" s="372" t="s">
        <v>214</v>
      </c>
      <c r="D154" s="450" t="s">
        <v>147</v>
      </c>
      <c r="E154" s="373"/>
      <c r="F154" s="373"/>
      <c r="G154" s="373"/>
      <c r="H154" s="373"/>
      <c r="I154" s="373"/>
      <c r="J154" s="373"/>
      <c r="K154" s="373"/>
      <c r="L154" s="373"/>
      <c r="M154" s="373"/>
      <c r="N154" s="373"/>
      <c r="O154" s="373"/>
      <c r="P154" s="373"/>
      <c r="Q154" s="373"/>
      <c r="R154" s="373"/>
      <c r="S154" s="373"/>
      <c r="T154" s="373"/>
      <c r="U154" s="374">
        <f t="shared" si="69"/>
        <v>0</v>
      </c>
      <c r="V154" s="374">
        <v>284</v>
      </c>
      <c r="W154" s="374">
        <f t="shared" si="70"/>
        <v>0</v>
      </c>
      <c r="X154" s="375"/>
      <c r="Y154" s="376"/>
      <c r="Z154" s="408">
        <f t="shared" si="71"/>
        <v>0</v>
      </c>
      <c r="AA154" s="408">
        <f t="shared" si="72"/>
        <v>0</v>
      </c>
      <c r="AB154" s="408">
        <f t="shared" si="73"/>
        <v>0</v>
      </c>
      <c r="AC154" s="408">
        <f t="shared" si="74"/>
        <v>0</v>
      </c>
      <c r="AD154" s="408">
        <f t="shared" si="75"/>
        <v>0</v>
      </c>
      <c r="AE154" s="408">
        <f t="shared" si="76"/>
        <v>0</v>
      </c>
      <c r="AF154" s="408">
        <f t="shared" si="77"/>
        <v>0</v>
      </c>
      <c r="AG154" s="408">
        <f t="shared" si="78"/>
        <v>0</v>
      </c>
      <c r="AH154" s="408">
        <f t="shared" si="79"/>
        <v>0</v>
      </c>
      <c r="AI154" s="408">
        <f t="shared" si="80"/>
        <v>0</v>
      </c>
      <c r="AJ154" s="408">
        <f t="shared" si="81"/>
        <v>0</v>
      </c>
      <c r="AK154" s="408">
        <f t="shared" si="82"/>
        <v>0</v>
      </c>
      <c r="AL154" s="408">
        <f t="shared" si="83"/>
        <v>0</v>
      </c>
      <c r="AM154" s="408">
        <f t="shared" si="84"/>
        <v>0</v>
      </c>
      <c r="AN154" s="408">
        <f t="shared" si="85"/>
        <v>0</v>
      </c>
      <c r="AO154" s="408">
        <f t="shared" si="86"/>
        <v>0</v>
      </c>
    </row>
    <row r="155" spans="1:41" s="408" customFormat="1" ht="15.75" x14ac:dyDescent="0.2">
      <c r="A155" s="371"/>
      <c r="B155" s="458"/>
      <c r="C155" s="372" t="s">
        <v>215</v>
      </c>
      <c r="D155" s="450" t="s">
        <v>147</v>
      </c>
      <c r="E155" s="373"/>
      <c r="F155" s="373"/>
      <c r="G155" s="373"/>
      <c r="H155" s="373"/>
      <c r="I155" s="373"/>
      <c r="J155" s="373"/>
      <c r="K155" s="373"/>
      <c r="L155" s="373"/>
      <c r="M155" s="373">
        <f>'DG FOUNDATION '!H90</f>
        <v>50</v>
      </c>
      <c r="N155" s="373"/>
      <c r="O155" s="373"/>
      <c r="P155" s="373"/>
      <c r="Q155" s="373">
        <f>'PARKING '!H95</f>
        <v>180</v>
      </c>
      <c r="R155" s="373"/>
      <c r="S155" s="373"/>
      <c r="T155" s="373"/>
      <c r="U155" s="374">
        <f t="shared" si="69"/>
        <v>230</v>
      </c>
      <c r="V155" s="374">
        <v>781</v>
      </c>
      <c r="W155" s="374">
        <f t="shared" si="70"/>
        <v>179630</v>
      </c>
      <c r="X155" s="375"/>
      <c r="Y155" s="376"/>
      <c r="Z155" s="408">
        <f t="shared" si="71"/>
        <v>0</v>
      </c>
      <c r="AA155" s="408">
        <f t="shared" si="72"/>
        <v>0</v>
      </c>
      <c r="AB155" s="408">
        <f t="shared" si="73"/>
        <v>0</v>
      </c>
      <c r="AC155" s="408">
        <f t="shared" si="74"/>
        <v>0</v>
      </c>
      <c r="AD155" s="408">
        <f t="shared" si="75"/>
        <v>0</v>
      </c>
      <c r="AE155" s="408">
        <f t="shared" si="76"/>
        <v>0</v>
      </c>
      <c r="AF155" s="408">
        <f t="shared" si="77"/>
        <v>0</v>
      </c>
      <c r="AG155" s="408">
        <f t="shared" si="78"/>
        <v>0</v>
      </c>
      <c r="AH155" s="408">
        <f t="shared" si="79"/>
        <v>39050</v>
      </c>
      <c r="AI155" s="408">
        <f t="shared" si="80"/>
        <v>0</v>
      </c>
      <c r="AJ155" s="408">
        <f t="shared" si="81"/>
        <v>0</v>
      </c>
      <c r="AK155" s="408">
        <f t="shared" si="82"/>
        <v>0</v>
      </c>
      <c r="AL155" s="408">
        <f t="shared" si="83"/>
        <v>140580</v>
      </c>
      <c r="AM155" s="408">
        <f t="shared" si="84"/>
        <v>0</v>
      </c>
      <c r="AN155" s="408">
        <f t="shared" si="85"/>
        <v>0</v>
      </c>
      <c r="AO155" s="408">
        <f t="shared" si="86"/>
        <v>0</v>
      </c>
    </row>
    <row r="156" spans="1:41" s="408" customFormat="1" ht="47.25" x14ac:dyDescent="0.2">
      <c r="A156" s="371">
        <v>49</v>
      </c>
      <c r="B156" s="458" t="s">
        <v>70</v>
      </c>
      <c r="C156" s="449" t="s">
        <v>459</v>
      </c>
      <c r="D156" s="427" t="s">
        <v>201</v>
      </c>
      <c r="E156" s="373"/>
      <c r="F156" s="373"/>
      <c r="G156" s="373"/>
      <c r="H156" s="373"/>
      <c r="I156" s="373"/>
      <c r="J156" s="373"/>
      <c r="K156" s="373"/>
      <c r="L156" s="373"/>
      <c r="M156" s="373">
        <f>'DG FOUNDATION '!H91</f>
        <v>338</v>
      </c>
      <c r="N156" s="373"/>
      <c r="O156" s="373"/>
      <c r="P156" s="373"/>
      <c r="Q156" s="373">
        <f>'PARKING '!H96</f>
        <v>690</v>
      </c>
      <c r="R156" s="373"/>
      <c r="S156" s="373"/>
      <c r="T156" s="373"/>
      <c r="U156" s="374">
        <f t="shared" si="69"/>
        <v>1028</v>
      </c>
      <c r="V156" s="374">
        <v>680</v>
      </c>
      <c r="W156" s="374">
        <f t="shared" si="70"/>
        <v>699040</v>
      </c>
      <c r="X156" s="375"/>
      <c r="Y156" s="376"/>
      <c r="Z156" s="408">
        <f t="shared" si="71"/>
        <v>0</v>
      </c>
      <c r="AA156" s="408">
        <f t="shared" si="72"/>
        <v>0</v>
      </c>
      <c r="AB156" s="408">
        <f t="shared" si="73"/>
        <v>0</v>
      </c>
      <c r="AC156" s="408">
        <f t="shared" si="74"/>
        <v>0</v>
      </c>
      <c r="AD156" s="408">
        <f t="shared" si="75"/>
        <v>0</v>
      </c>
      <c r="AE156" s="408">
        <f t="shared" si="76"/>
        <v>0</v>
      </c>
      <c r="AF156" s="408">
        <f t="shared" si="77"/>
        <v>0</v>
      </c>
      <c r="AG156" s="408">
        <f t="shared" si="78"/>
        <v>0</v>
      </c>
      <c r="AH156" s="408">
        <f t="shared" si="79"/>
        <v>229840</v>
      </c>
      <c r="AI156" s="408">
        <f t="shared" si="80"/>
        <v>0</v>
      </c>
      <c r="AJ156" s="408">
        <f t="shared" si="81"/>
        <v>0</v>
      </c>
      <c r="AK156" s="408">
        <f t="shared" si="82"/>
        <v>0</v>
      </c>
      <c r="AL156" s="408">
        <f t="shared" si="83"/>
        <v>469200</v>
      </c>
      <c r="AM156" s="408">
        <f t="shared" si="84"/>
        <v>0</v>
      </c>
      <c r="AN156" s="408">
        <f t="shared" si="85"/>
        <v>0</v>
      </c>
      <c r="AO156" s="408">
        <f t="shared" si="86"/>
        <v>0</v>
      </c>
    </row>
    <row r="157" spans="1:41" s="408" customFormat="1" ht="15.75" x14ac:dyDescent="0.2">
      <c r="A157" s="371"/>
      <c r="B157" s="458"/>
      <c r="C157" s="449"/>
      <c r="D157" s="427"/>
      <c r="E157" s="373"/>
      <c r="F157" s="373"/>
      <c r="G157" s="373"/>
      <c r="H157" s="373"/>
      <c r="I157" s="373"/>
      <c r="J157" s="373"/>
      <c r="K157" s="373"/>
      <c r="L157" s="373"/>
      <c r="M157" s="373"/>
      <c r="N157" s="373"/>
      <c r="O157" s="373"/>
      <c r="P157" s="373"/>
      <c r="Q157" s="373"/>
      <c r="R157" s="373"/>
      <c r="S157" s="373"/>
      <c r="T157" s="373"/>
      <c r="U157" s="374">
        <f t="shared" si="69"/>
        <v>0</v>
      </c>
      <c r="V157" s="374"/>
      <c r="W157" s="374">
        <f t="shared" si="70"/>
        <v>0</v>
      </c>
      <c r="X157" s="375"/>
      <c r="Y157" s="376"/>
      <c r="Z157" s="408">
        <f t="shared" si="71"/>
        <v>0</v>
      </c>
      <c r="AA157" s="408">
        <f t="shared" si="72"/>
        <v>0</v>
      </c>
      <c r="AB157" s="408">
        <f t="shared" si="73"/>
        <v>0</v>
      </c>
      <c r="AC157" s="408">
        <f t="shared" si="74"/>
        <v>0</v>
      </c>
      <c r="AD157" s="408">
        <f t="shared" si="75"/>
        <v>0</v>
      </c>
      <c r="AE157" s="408">
        <f t="shared" si="76"/>
        <v>0</v>
      </c>
      <c r="AF157" s="408">
        <f t="shared" si="77"/>
        <v>0</v>
      </c>
      <c r="AG157" s="408">
        <f t="shared" si="78"/>
        <v>0</v>
      </c>
      <c r="AH157" s="408">
        <f t="shared" si="79"/>
        <v>0</v>
      </c>
      <c r="AI157" s="408">
        <f t="shared" si="80"/>
        <v>0</v>
      </c>
      <c r="AJ157" s="408">
        <f t="shared" si="81"/>
        <v>0</v>
      </c>
      <c r="AK157" s="408">
        <f t="shared" si="82"/>
        <v>0</v>
      </c>
      <c r="AL157" s="408">
        <f t="shared" si="83"/>
        <v>0</v>
      </c>
      <c r="AM157" s="408">
        <f t="shared" si="84"/>
        <v>0</v>
      </c>
      <c r="AN157" s="408">
        <f t="shared" si="85"/>
        <v>0</v>
      </c>
      <c r="AO157" s="408">
        <f t="shared" si="86"/>
        <v>0</v>
      </c>
    </row>
    <row r="158" spans="1:41" s="408" customFormat="1" ht="47.25" x14ac:dyDescent="0.2">
      <c r="A158" s="371">
        <v>50</v>
      </c>
      <c r="B158" s="460" t="s">
        <v>138</v>
      </c>
      <c r="C158" s="456" t="s">
        <v>460</v>
      </c>
      <c r="D158" s="420" t="s">
        <v>218</v>
      </c>
      <c r="E158" s="373"/>
      <c r="F158" s="373"/>
      <c r="G158" s="373"/>
      <c r="H158" s="373"/>
      <c r="I158" s="373"/>
      <c r="J158" s="373"/>
      <c r="K158" s="373"/>
      <c r="L158" s="373">
        <f>'GAS TANK STORAGE'!H61</f>
        <v>424.79999999999995</v>
      </c>
      <c r="M158" s="373"/>
      <c r="N158" s="373"/>
      <c r="O158" s="373"/>
      <c r="P158" s="373"/>
      <c r="Q158" s="373"/>
      <c r="R158" s="373"/>
      <c r="S158" s="373"/>
      <c r="T158" s="373"/>
      <c r="U158" s="374">
        <f t="shared" si="69"/>
        <v>424.79999999999995</v>
      </c>
      <c r="V158" s="374">
        <v>110</v>
      </c>
      <c r="W158" s="374">
        <f t="shared" si="70"/>
        <v>46727.999999999993</v>
      </c>
      <c r="X158" s="375"/>
      <c r="Y158" s="376"/>
      <c r="Z158" s="408">
        <f t="shared" si="71"/>
        <v>0</v>
      </c>
      <c r="AA158" s="408">
        <f t="shared" si="72"/>
        <v>0</v>
      </c>
      <c r="AB158" s="408">
        <f t="shared" si="73"/>
        <v>0</v>
      </c>
      <c r="AC158" s="408">
        <f t="shared" si="74"/>
        <v>0</v>
      </c>
      <c r="AD158" s="408">
        <f t="shared" si="75"/>
        <v>0</v>
      </c>
      <c r="AE158" s="408">
        <f t="shared" si="76"/>
        <v>0</v>
      </c>
      <c r="AF158" s="408">
        <f t="shared" si="77"/>
        <v>0</v>
      </c>
      <c r="AG158" s="408">
        <f t="shared" si="78"/>
        <v>46727.999999999993</v>
      </c>
      <c r="AH158" s="408">
        <f t="shared" si="79"/>
        <v>0</v>
      </c>
      <c r="AI158" s="408">
        <f t="shared" si="80"/>
        <v>0</v>
      </c>
      <c r="AJ158" s="408">
        <f t="shared" si="81"/>
        <v>0</v>
      </c>
      <c r="AK158" s="408">
        <f t="shared" si="82"/>
        <v>0</v>
      </c>
      <c r="AL158" s="408">
        <f t="shared" si="83"/>
        <v>0</v>
      </c>
      <c r="AM158" s="408">
        <f t="shared" si="84"/>
        <v>0</v>
      </c>
      <c r="AN158" s="408">
        <f t="shared" si="85"/>
        <v>0</v>
      </c>
      <c r="AO158" s="408">
        <f t="shared" si="86"/>
        <v>0</v>
      </c>
    </row>
    <row r="159" spans="1:41" s="408" customFormat="1" ht="110.25" x14ac:dyDescent="0.2">
      <c r="A159" s="371">
        <v>51</v>
      </c>
      <c r="B159" s="460">
        <v>16.53</v>
      </c>
      <c r="C159" s="449" t="s">
        <v>458</v>
      </c>
      <c r="D159" s="461" t="s">
        <v>199</v>
      </c>
      <c r="E159" s="373"/>
      <c r="F159" s="373"/>
      <c r="G159" s="373"/>
      <c r="H159" s="373"/>
      <c r="I159" s="373"/>
      <c r="J159" s="373">
        <f>'FUEL YARD'!I112</f>
        <v>91</v>
      </c>
      <c r="K159" s="373"/>
      <c r="L159" s="373"/>
      <c r="M159" s="373"/>
      <c r="N159" s="373"/>
      <c r="O159" s="373"/>
      <c r="P159" s="373"/>
      <c r="Q159" s="373"/>
      <c r="R159" s="373"/>
      <c r="S159" s="373"/>
      <c r="T159" s="373"/>
      <c r="U159" s="374">
        <f t="shared" si="69"/>
        <v>91</v>
      </c>
      <c r="V159" s="374">
        <v>303.64999999999998</v>
      </c>
      <c r="W159" s="374">
        <f t="shared" si="70"/>
        <v>27632.149999999998</v>
      </c>
      <c r="X159" s="375"/>
      <c r="Y159" s="376"/>
      <c r="Z159" s="408">
        <f t="shared" si="71"/>
        <v>0</v>
      </c>
      <c r="AA159" s="408">
        <f t="shared" si="72"/>
        <v>0</v>
      </c>
      <c r="AB159" s="408">
        <f t="shared" si="73"/>
        <v>0</v>
      </c>
      <c r="AC159" s="408">
        <f t="shared" si="74"/>
        <v>0</v>
      </c>
      <c r="AD159" s="408">
        <f t="shared" si="75"/>
        <v>0</v>
      </c>
      <c r="AE159" s="408">
        <f t="shared" si="76"/>
        <v>27632.149999999998</v>
      </c>
      <c r="AF159" s="408">
        <f t="shared" si="77"/>
        <v>0</v>
      </c>
      <c r="AG159" s="408">
        <f t="shared" si="78"/>
        <v>0</v>
      </c>
      <c r="AH159" s="408">
        <f t="shared" si="79"/>
        <v>0</v>
      </c>
      <c r="AI159" s="408">
        <f t="shared" si="80"/>
        <v>0</v>
      </c>
      <c r="AJ159" s="408">
        <f t="shared" si="81"/>
        <v>0</v>
      </c>
      <c r="AK159" s="408">
        <f t="shared" si="82"/>
        <v>0</v>
      </c>
      <c r="AL159" s="408">
        <f t="shared" si="83"/>
        <v>0</v>
      </c>
      <c r="AM159" s="408">
        <f t="shared" si="84"/>
        <v>0</v>
      </c>
      <c r="AN159" s="408">
        <f t="shared" si="85"/>
        <v>0</v>
      </c>
      <c r="AO159" s="408">
        <f t="shared" si="86"/>
        <v>0</v>
      </c>
    </row>
    <row r="160" spans="1:41" s="408" customFormat="1" ht="47.25" x14ac:dyDescent="0.2">
      <c r="A160" s="371">
        <v>52</v>
      </c>
      <c r="B160" s="462">
        <v>16.7</v>
      </c>
      <c r="C160" s="372" t="s">
        <v>220</v>
      </c>
      <c r="D160" s="427"/>
      <c r="E160" s="373"/>
      <c r="F160" s="373"/>
      <c r="G160" s="373"/>
      <c r="H160" s="373"/>
      <c r="I160" s="373"/>
      <c r="J160" s="373"/>
      <c r="K160" s="373"/>
      <c r="L160" s="373"/>
      <c r="M160" s="373"/>
      <c r="N160" s="373"/>
      <c r="O160" s="373"/>
      <c r="P160" s="373"/>
      <c r="Q160" s="373"/>
      <c r="R160" s="373"/>
      <c r="S160" s="373"/>
      <c r="T160" s="373"/>
      <c r="U160" s="374">
        <f t="shared" si="69"/>
        <v>0</v>
      </c>
      <c r="V160" s="374"/>
      <c r="W160" s="374">
        <f t="shared" si="70"/>
        <v>0</v>
      </c>
      <c r="X160" s="375"/>
      <c r="Y160" s="376"/>
      <c r="Z160" s="408">
        <f t="shared" si="71"/>
        <v>0</v>
      </c>
      <c r="AA160" s="408">
        <f t="shared" si="72"/>
        <v>0</v>
      </c>
      <c r="AB160" s="408">
        <f t="shared" si="73"/>
        <v>0</v>
      </c>
      <c r="AC160" s="408">
        <f t="shared" si="74"/>
        <v>0</v>
      </c>
      <c r="AD160" s="408">
        <f t="shared" si="75"/>
        <v>0</v>
      </c>
      <c r="AE160" s="408">
        <f t="shared" si="76"/>
        <v>0</v>
      </c>
      <c r="AF160" s="408">
        <f t="shared" si="77"/>
        <v>0</v>
      </c>
      <c r="AG160" s="408">
        <f t="shared" si="78"/>
        <v>0</v>
      </c>
      <c r="AH160" s="408">
        <f t="shared" si="79"/>
        <v>0</v>
      </c>
      <c r="AI160" s="408">
        <f t="shared" si="80"/>
        <v>0</v>
      </c>
      <c r="AJ160" s="408">
        <f t="shared" si="81"/>
        <v>0</v>
      </c>
      <c r="AK160" s="408">
        <f t="shared" si="82"/>
        <v>0</v>
      </c>
      <c r="AL160" s="408">
        <f t="shared" si="83"/>
        <v>0</v>
      </c>
      <c r="AM160" s="408">
        <f t="shared" si="84"/>
        <v>0</v>
      </c>
      <c r="AN160" s="408">
        <f t="shared" si="85"/>
        <v>0</v>
      </c>
      <c r="AO160" s="408">
        <f t="shared" si="86"/>
        <v>0</v>
      </c>
    </row>
    <row r="161" spans="1:41" s="408" customFormat="1" ht="15.75" x14ac:dyDescent="0.2">
      <c r="A161" s="371"/>
      <c r="B161" s="462" t="s">
        <v>221</v>
      </c>
      <c r="C161" s="372" t="s">
        <v>222</v>
      </c>
      <c r="D161" s="427" t="s">
        <v>73</v>
      </c>
      <c r="E161" s="373"/>
      <c r="F161" s="373"/>
      <c r="G161" s="373"/>
      <c r="H161" s="373"/>
      <c r="I161" s="373"/>
      <c r="J161" s="373"/>
      <c r="K161" s="373"/>
      <c r="L161" s="373">
        <f>'GAS TANK STORAGE'!H59</f>
        <v>169.20000000000002</v>
      </c>
      <c r="M161" s="373"/>
      <c r="N161" s="373"/>
      <c r="O161" s="373"/>
      <c r="P161" s="373"/>
      <c r="Q161" s="373"/>
      <c r="R161" s="373"/>
      <c r="S161" s="373">
        <f>'PLOT BOUNDARY 103,104'!H36</f>
        <v>570</v>
      </c>
      <c r="T161" s="373"/>
      <c r="U161" s="374">
        <f t="shared" si="69"/>
        <v>739.2</v>
      </c>
      <c r="V161" s="374">
        <v>859.5</v>
      </c>
      <c r="W161" s="374">
        <f t="shared" si="70"/>
        <v>635342.4</v>
      </c>
      <c r="X161" s="375"/>
      <c r="Y161" s="376"/>
      <c r="Z161" s="408">
        <f t="shared" si="71"/>
        <v>0</v>
      </c>
      <c r="AA161" s="408">
        <f t="shared" si="72"/>
        <v>0</v>
      </c>
      <c r="AB161" s="408">
        <f t="shared" si="73"/>
        <v>0</v>
      </c>
      <c r="AC161" s="408">
        <f t="shared" si="74"/>
        <v>0</v>
      </c>
      <c r="AD161" s="408">
        <f t="shared" si="75"/>
        <v>0</v>
      </c>
      <c r="AE161" s="408">
        <f t="shared" si="76"/>
        <v>0</v>
      </c>
      <c r="AF161" s="408">
        <f t="shared" si="77"/>
        <v>0</v>
      </c>
      <c r="AG161" s="408">
        <f t="shared" si="78"/>
        <v>145427.40000000002</v>
      </c>
      <c r="AH161" s="408">
        <f t="shared" si="79"/>
        <v>0</v>
      </c>
      <c r="AI161" s="408">
        <f t="shared" si="80"/>
        <v>0</v>
      </c>
      <c r="AJ161" s="408">
        <f t="shared" si="81"/>
        <v>0</v>
      </c>
      <c r="AK161" s="408">
        <f t="shared" si="82"/>
        <v>0</v>
      </c>
      <c r="AL161" s="408">
        <f t="shared" si="83"/>
        <v>0</v>
      </c>
      <c r="AM161" s="408">
        <f t="shared" si="84"/>
        <v>0</v>
      </c>
      <c r="AN161" s="408">
        <f t="shared" si="85"/>
        <v>489915</v>
      </c>
      <c r="AO161" s="408">
        <f t="shared" si="86"/>
        <v>0</v>
      </c>
    </row>
    <row r="162" spans="1:41" s="408" customFormat="1" ht="31.5" x14ac:dyDescent="0.2">
      <c r="A162" s="371"/>
      <c r="B162" s="462" t="s">
        <v>223</v>
      </c>
      <c r="C162" s="372" t="s">
        <v>462</v>
      </c>
      <c r="D162" s="427" t="s">
        <v>73</v>
      </c>
      <c r="E162" s="373"/>
      <c r="F162" s="373"/>
      <c r="G162" s="373"/>
      <c r="H162" s="373"/>
      <c r="I162" s="373"/>
      <c r="J162" s="373">
        <f>'FUEL YARD'!I114</f>
        <v>182</v>
      </c>
      <c r="K162" s="373"/>
      <c r="L162" s="373"/>
      <c r="M162" s="373"/>
      <c r="N162" s="373"/>
      <c r="O162" s="373">
        <v>72</v>
      </c>
      <c r="P162" s="373"/>
      <c r="Q162" s="373"/>
      <c r="R162" s="373"/>
      <c r="S162" s="373"/>
      <c r="T162" s="373"/>
      <c r="U162" s="374">
        <f t="shared" si="69"/>
        <v>254</v>
      </c>
      <c r="V162" s="374">
        <v>901.65</v>
      </c>
      <c r="W162" s="374">
        <f t="shared" si="70"/>
        <v>229019.1</v>
      </c>
      <c r="X162" s="375"/>
      <c r="Y162" s="376"/>
      <c r="Z162" s="408">
        <f t="shared" si="71"/>
        <v>0</v>
      </c>
      <c r="AA162" s="408">
        <f t="shared" si="72"/>
        <v>0</v>
      </c>
      <c r="AB162" s="408">
        <f t="shared" si="73"/>
        <v>0</v>
      </c>
      <c r="AC162" s="408">
        <f t="shared" si="74"/>
        <v>0</v>
      </c>
      <c r="AD162" s="408">
        <f t="shared" si="75"/>
        <v>0</v>
      </c>
      <c r="AE162" s="408">
        <f t="shared" si="76"/>
        <v>164100.29999999999</v>
      </c>
      <c r="AF162" s="408">
        <f t="shared" si="77"/>
        <v>0</v>
      </c>
      <c r="AG162" s="408">
        <f t="shared" si="78"/>
        <v>0</v>
      </c>
      <c r="AH162" s="408">
        <f t="shared" si="79"/>
        <v>0</v>
      </c>
      <c r="AI162" s="408">
        <f t="shared" si="80"/>
        <v>0</v>
      </c>
      <c r="AJ162" s="408">
        <f t="shared" si="81"/>
        <v>64918.799999999996</v>
      </c>
      <c r="AK162" s="408">
        <f t="shared" si="82"/>
        <v>0</v>
      </c>
      <c r="AL162" s="408">
        <f t="shared" si="83"/>
        <v>0</v>
      </c>
      <c r="AM162" s="408">
        <f t="shared" si="84"/>
        <v>0</v>
      </c>
      <c r="AN162" s="408">
        <f t="shared" si="85"/>
        <v>0</v>
      </c>
      <c r="AO162" s="408">
        <f t="shared" si="86"/>
        <v>0</v>
      </c>
    </row>
    <row r="163" spans="1:41" s="408" customFormat="1" ht="15.75" x14ac:dyDescent="0.2">
      <c r="A163" s="371"/>
      <c r="B163" s="462"/>
      <c r="C163" s="372"/>
      <c r="D163" s="427"/>
      <c r="E163" s="373"/>
      <c r="F163" s="373"/>
      <c r="G163" s="373"/>
      <c r="H163" s="373"/>
      <c r="I163" s="373"/>
      <c r="J163" s="373"/>
      <c r="K163" s="373"/>
      <c r="L163" s="373"/>
      <c r="M163" s="373"/>
      <c r="N163" s="373"/>
      <c r="O163" s="373"/>
      <c r="P163" s="373"/>
      <c r="Q163" s="373"/>
      <c r="R163" s="373"/>
      <c r="S163" s="373"/>
      <c r="T163" s="373"/>
      <c r="U163" s="374">
        <f t="shared" si="69"/>
        <v>0</v>
      </c>
      <c r="V163" s="374"/>
      <c r="W163" s="374">
        <f t="shared" si="70"/>
        <v>0</v>
      </c>
      <c r="X163" s="375"/>
      <c r="Y163" s="376"/>
      <c r="Z163" s="408">
        <f t="shared" si="71"/>
        <v>0</v>
      </c>
      <c r="AA163" s="408">
        <f t="shared" si="72"/>
        <v>0</v>
      </c>
      <c r="AB163" s="408">
        <f t="shared" si="73"/>
        <v>0</v>
      </c>
      <c r="AC163" s="408">
        <f t="shared" si="74"/>
        <v>0</v>
      </c>
      <c r="AD163" s="408">
        <f t="shared" si="75"/>
        <v>0</v>
      </c>
      <c r="AE163" s="408">
        <f t="shared" si="76"/>
        <v>0</v>
      </c>
      <c r="AF163" s="408">
        <f t="shared" si="77"/>
        <v>0</v>
      </c>
      <c r="AG163" s="408">
        <f t="shared" si="78"/>
        <v>0</v>
      </c>
      <c r="AH163" s="408">
        <f t="shared" si="79"/>
        <v>0</v>
      </c>
      <c r="AI163" s="408">
        <f t="shared" si="80"/>
        <v>0</v>
      </c>
      <c r="AJ163" s="408">
        <f t="shared" si="81"/>
        <v>0</v>
      </c>
      <c r="AK163" s="408">
        <f t="shared" si="82"/>
        <v>0</v>
      </c>
      <c r="AL163" s="408">
        <f t="shared" si="83"/>
        <v>0</v>
      </c>
      <c r="AM163" s="408">
        <f t="shared" si="84"/>
        <v>0</v>
      </c>
      <c r="AN163" s="408">
        <f t="shared" si="85"/>
        <v>0</v>
      </c>
      <c r="AO163" s="408">
        <f t="shared" si="86"/>
        <v>0</v>
      </c>
    </row>
    <row r="164" spans="1:41" s="408" customFormat="1" ht="47.25" x14ac:dyDescent="0.2">
      <c r="A164" s="371">
        <v>53</v>
      </c>
      <c r="B164" s="460">
        <v>1</v>
      </c>
      <c r="C164" s="456" t="s">
        <v>225</v>
      </c>
      <c r="D164" s="461"/>
      <c r="E164" s="373"/>
      <c r="F164" s="373"/>
      <c r="G164" s="373"/>
      <c r="H164" s="373"/>
      <c r="I164" s="373"/>
      <c r="J164" s="373"/>
      <c r="K164" s="373"/>
      <c r="L164" s="373"/>
      <c r="M164" s="373"/>
      <c r="N164" s="373"/>
      <c r="O164" s="373"/>
      <c r="P164" s="373"/>
      <c r="Q164" s="373"/>
      <c r="R164" s="373"/>
      <c r="S164" s="373"/>
      <c r="T164" s="373"/>
      <c r="U164" s="374">
        <f t="shared" si="69"/>
        <v>0</v>
      </c>
      <c r="V164" s="374"/>
      <c r="W164" s="374">
        <f t="shared" si="70"/>
        <v>0</v>
      </c>
      <c r="X164" s="375"/>
      <c r="Y164" s="376"/>
      <c r="Z164" s="408">
        <f t="shared" si="71"/>
        <v>0</v>
      </c>
      <c r="AA164" s="408">
        <f t="shared" si="72"/>
        <v>0</v>
      </c>
      <c r="AB164" s="408">
        <f t="shared" si="73"/>
        <v>0</v>
      </c>
      <c r="AC164" s="408">
        <f t="shared" si="74"/>
        <v>0</v>
      </c>
      <c r="AD164" s="408">
        <f t="shared" si="75"/>
        <v>0</v>
      </c>
      <c r="AE164" s="408">
        <f t="shared" si="76"/>
        <v>0</v>
      </c>
      <c r="AF164" s="408">
        <f t="shared" si="77"/>
        <v>0</v>
      </c>
      <c r="AG164" s="408">
        <f t="shared" si="78"/>
        <v>0</v>
      </c>
      <c r="AH164" s="408">
        <f t="shared" si="79"/>
        <v>0</v>
      </c>
      <c r="AI164" s="408">
        <f t="shared" si="80"/>
        <v>0</v>
      </c>
      <c r="AJ164" s="408">
        <f t="shared" si="81"/>
        <v>0</v>
      </c>
      <c r="AK164" s="408">
        <f t="shared" si="82"/>
        <v>0</v>
      </c>
      <c r="AL164" s="408">
        <f t="shared" si="83"/>
        <v>0</v>
      </c>
      <c r="AM164" s="408">
        <f t="shared" si="84"/>
        <v>0</v>
      </c>
      <c r="AN164" s="408">
        <f t="shared" si="85"/>
        <v>0</v>
      </c>
      <c r="AO164" s="408">
        <f t="shared" si="86"/>
        <v>0</v>
      </c>
    </row>
    <row r="165" spans="1:41" s="408" customFormat="1" ht="15.75" x14ac:dyDescent="0.2">
      <c r="A165" s="371"/>
      <c r="B165" s="460" t="s">
        <v>226</v>
      </c>
      <c r="C165" s="456" t="s">
        <v>227</v>
      </c>
      <c r="D165" s="461" t="s">
        <v>228</v>
      </c>
      <c r="E165" s="373"/>
      <c r="F165" s="373"/>
      <c r="G165" s="373"/>
      <c r="H165" s="373"/>
      <c r="I165" s="373"/>
      <c r="J165" s="373">
        <f>'FUEL YARD'!I117</f>
        <v>6</v>
      </c>
      <c r="K165" s="373"/>
      <c r="L165" s="373"/>
      <c r="M165" s="373"/>
      <c r="N165" s="373"/>
      <c r="O165" s="373"/>
      <c r="P165" s="373"/>
      <c r="Q165" s="373"/>
      <c r="R165" s="373"/>
      <c r="S165" s="373"/>
      <c r="T165" s="373"/>
      <c r="U165" s="374">
        <f t="shared" si="69"/>
        <v>6</v>
      </c>
      <c r="V165" s="374">
        <v>22000</v>
      </c>
      <c r="W165" s="374">
        <f t="shared" si="70"/>
        <v>132000</v>
      </c>
      <c r="X165" s="375"/>
      <c r="Y165" s="376"/>
      <c r="Z165" s="408">
        <f t="shared" si="71"/>
        <v>0</v>
      </c>
      <c r="AA165" s="408">
        <f t="shared" si="72"/>
        <v>0</v>
      </c>
      <c r="AB165" s="408">
        <f t="shared" si="73"/>
        <v>0</v>
      </c>
      <c r="AC165" s="408">
        <f t="shared" si="74"/>
        <v>0</v>
      </c>
      <c r="AD165" s="408">
        <f t="shared" si="75"/>
        <v>0</v>
      </c>
      <c r="AE165" s="408">
        <f t="shared" si="76"/>
        <v>132000</v>
      </c>
      <c r="AF165" s="408">
        <f t="shared" si="77"/>
        <v>0</v>
      </c>
      <c r="AG165" s="408">
        <f t="shared" si="78"/>
        <v>0</v>
      </c>
      <c r="AH165" s="408">
        <f t="shared" si="79"/>
        <v>0</v>
      </c>
      <c r="AI165" s="408">
        <f t="shared" si="80"/>
        <v>0</v>
      </c>
      <c r="AJ165" s="408">
        <f t="shared" si="81"/>
        <v>0</v>
      </c>
      <c r="AK165" s="408">
        <f t="shared" si="82"/>
        <v>0</v>
      </c>
      <c r="AL165" s="408">
        <f t="shared" si="83"/>
        <v>0</v>
      </c>
      <c r="AM165" s="408">
        <f t="shared" si="84"/>
        <v>0</v>
      </c>
      <c r="AN165" s="408">
        <f t="shared" si="85"/>
        <v>0</v>
      </c>
      <c r="AO165" s="408">
        <f t="shared" si="86"/>
        <v>0</v>
      </c>
    </row>
    <row r="166" spans="1:41" s="408" customFormat="1" ht="15.75" x14ac:dyDescent="0.25">
      <c r="A166" s="371"/>
      <c r="B166" s="451"/>
      <c r="C166" s="452"/>
      <c r="D166" s="452"/>
      <c r="E166" s="373"/>
      <c r="F166" s="373"/>
      <c r="G166" s="373"/>
      <c r="H166" s="373"/>
      <c r="I166" s="373"/>
      <c r="J166" s="373"/>
      <c r="K166" s="373"/>
      <c r="L166" s="373"/>
      <c r="M166" s="373"/>
      <c r="N166" s="373"/>
      <c r="O166" s="373"/>
      <c r="P166" s="373"/>
      <c r="Q166" s="373"/>
      <c r="R166" s="373"/>
      <c r="S166" s="373"/>
      <c r="T166" s="373"/>
      <c r="U166" s="374">
        <f t="shared" si="69"/>
        <v>0</v>
      </c>
      <c r="V166" s="374"/>
      <c r="W166" s="374">
        <f t="shared" si="70"/>
        <v>0</v>
      </c>
      <c r="X166" s="375"/>
      <c r="Y166" s="376"/>
      <c r="Z166" s="408">
        <f t="shared" si="71"/>
        <v>0</v>
      </c>
      <c r="AA166" s="408">
        <f t="shared" si="72"/>
        <v>0</v>
      </c>
      <c r="AB166" s="408">
        <f t="shared" si="73"/>
        <v>0</v>
      </c>
      <c r="AC166" s="408">
        <f t="shared" si="74"/>
        <v>0</v>
      </c>
      <c r="AD166" s="408">
        <f t="shared" si="75"/>
        <v>0</v>
      </c>
      <c r="AE166" s="408">
        <f t="shared" si="76"/>
        <v>0</v>
      </c>
      <c r="AF166" s="408">
        <f t="shared" si="77"/>
        <v>0</v>
      </c>
      <c r="AG166" s="408">
        <f t="shared" si="78"/>
        <v>0</v>
      </c>
      <c r="AH166" s="408">
        <f t="shared" si="79"/>
        <v>0</v>
      </c>
      <c r="AI166" s="408">
        <f t="shared" si="80"/>
        <v>0</v>
      </c>
      <c r="AJ166" s="408">
        <f t="shared" si="81"/>
        <v>0</v>
      </c>
      <c r="AK166" s="408">
        <f t="shared" si="82"/>
        <v>0</v>
      </c>
      <c r="AL166" s="408">
        <f t="shared" si="83"/>
        <v>0</v>
      </c>
      <c r="AM166" s="408">
        <f t="shared" si="84"/>
        <v>0</v>
      </c>
      <c r="AN166" s="408">
        <f t="shared" si="85"/>
        <v>0</v>
      </c>
      <c r="AO166" s="408">
        <f t="shared" si="86"/>
        <v>0</v>
      </c>
    </row>
    <row r="167" spans="1:41" s="408" customFormat="1" ht="47.25" x14ac:dyDescent="0.2">
      <c r="A167" s="371">
        <v>54</v>
      </c>
      <c r="B167" s="463" t="s">
        <v>138</v>
      </c>
      <c r="C167" s="449" t="s">
        <v>229</v>
      </c>
      <c r="D167" s="420" t="s">
        <v>228</v>
      </c>
      <c r="E167" s="373"/>
      <c r="F167" s="373"/>
      <c r="G167" s="373"/>
      <c r="H167" s="373"/>
      <c r="I167" s="373"/>
      <c r="J167" s="373"/>
      <c r="K167" s="373"/>
      <c r="L167" s="373">
        <f>'GAS TANK STORAGE'!H62</f>
        <v>3.1500000000000004</v>
      </c>
      <c r="M167" s="373"/>
      <c r="N167" s="373"/>
      <c r="O167" s="373">
        <f>'HT YARD WITH CABLE TRENCH '!H67</f>
        <v>3.1500000000000004</v>
      </c>
      <c r="P167" s="373"/>
      <c r="Q167" s="373"/>
      <c r="R167" s="373"/>
      <c r="S167" s="373"/>
      <c r="T167" s="373"/>
      <c r="U167" s="374">
        <f t="shared" si="69"/>
        <v>6.3000000000000007</v>
      </c>
      <c r="V167" s="374">
        <v>5722</v>
      </c>
      <c r="W167" s="374">
        <f t="shared" si="70"/>
        <v>36048.600000000006</v>
      </c>
      <c r="X167" s="375"/>
      <c r="Y167" s="376"/>
      <c r="Z167" s="408">
        <f t="shared" si="71"/>
        <v>0</v>
      </c>
      <c r="AA167" s="408">
        <f t="shared" si="72"/>
        <v>0</v>
      </c>
      <c r="AB167" s="408">
        <f t="shared" si="73"/>
        <v>0</v>
      </c>
      <c r="AC167" s="408">
        <f t="shared" si="74"/>
        <v>0</v>
      </c>
      <c r="AD167" s="408">
        <f t="shared" si="75"/>
        <v>0</v>
      </c>
      <c r="AE167" s="408">
        <f t="shared" si="76"/>
        <v>0</v>
      </c>
      <c r="AF167" s="408">
        <f t="shared" si="77"/>
        <v>0</v>
      </c>
      <c r="AG167" s="408">
        <f t="shared" si="78"/>
        <v>18024.300000000003</v>
      </c>
      <c r="AH167" s="408">
        <f t="shared" si="79"/>
        <v>0</v>
      </c>
      <c r="AI167" s="408">
        <f t="shared" si="80"/>
        <v>0</v>
      </c>
      <c r="AJ167" s="408">
        <f t="shared" si="81"/>
        <v>18024.300000000003</v>
      </c>
      <c r="AK167" s="408">
        <f t="shared" si="82"/>
        <v>0</v>
      </c>
      <c r="AL167" s="408">
        <f t="shared" si="83"/>
        <v>0</v>
      </c>
      <c r="AM167" s="408">
        <f t="shared" si="84"/>
        <v>0</v>
      </c>
      <c r="AN167" s="408">
        <f t="shared" si="85"/>
        <v>0</v>
      </c>
      <c r="AO167" s="408">
        <f t="shared" si="86"/>
        <v>0</v>
      </c>
    </row>
    <row r="168" spans="1:41" s="408" customFormat="1" ht="15.75" x14ac:dyDescent="0.25">
      <c r="A168" s="371"/>
      <c r="B168" s="451"/>
      <c r="C168" s="452"/>
      <c r="D168" s="452"/>
      <c r="E168" s="373"/>
      <c r="F168" s="373"/>
      <c r="G168" s="373"/>
      <c r="H168" s="373"/>
      <c r="I168" s="373"/>
      <c r="J168" s="373"/>
      <c r="K168" s="373"/>
      <c r="L168" s="373"/>
      <c r="M168" s="373"/>
      <c r="N168" s="373"/>
      <c r="O168" s="373"/>
      <c r="P168" s="373"/>
      <c r="Q168" s="373"/>
      <c r="R168" s="373"/>
      <c r="S168" s="373"/>
      <c r="T168" s="373"/>
      <c r="U168" s="374">
        <f t="shared" si="69"/>
        <v>0</v>
      </c>
      <c r="V168" s="374"/>
      <c r="W168" s="374">
        <f t="shared" si="70"/>
        <v>0</v>
      </c>
      <c r="X168" s="375"/>
      <c r="Y168" s="376"/>
      <c r="Z168" s="408">
        <f t="shared" si="71"/>
        <v>0</v>
      </c>
      <c r="AA168" s="408">
        <f t="shared" si="72"/>
        <v>0</v>
      </c>
      <c r="AB168" s="408">
        <f t="shared" si="73"/>
        <v>0</v>
      </c>
      <c r="AC168" s="408">
        <f t="shared" si="74"/>
        <v>0</v>
      </c>
      <c r="AD168" s="408">
        <f t="shared" si="75"/>
        <v>0</v>
      </c>
      <c r="AE168" s="408">
        <f t="shared" si="76"/>
        <v>0</v>
      </c>
      <c r="AF168" s="408">
        <f t="shared" si="77"/>
        <v>0</v>
      </c>
      <c r="AG168" s="408">
        <f t="shared" si="78"/>
        <v>0</v>
      </c>
      <c r="AH168" s="408">
        <f t="shared" si="79"/>
        <v>0</v>
      </c>
      <c r="AI168" s="408">
        <f t="shared" si="80"/>
        <v>0</v>
      </c>
      <c r="AJ168" s="408">
        <f t="shared" si="81"/>
        <v>0</v>
      </c>
      <c r="AK168" s="408">
        <f t="shared" si="82"/>
        <v>0</v>
      </c>
      <c r="AL168" s="408">
        <f t="shared" si="83"/>
        <v>0</v>
      </c>
      <c r="AM168" s="408">
        <f t="shared" si="84"/>
        <v>0</v>
      </c>
      <c r="AN168" s="408">
        <f t="shared" si="85"/>
        <v>0</v>
      </c>
      <c r="AO168" s="408">
        <f t="shared" si="86"/>
        <v>0</v>
      </c>
    </row>
    <row r="169" spans="1:41" s="408" customFormat="1" ht="47.25" x14ac:dyDescent="0.25">
      <c r="A169" s="371">
        <v>55</v>
      </c>
      <c r="B169" s="464">
        <v>10.25</v>
      </c>
      <c r="C169" s="372" t="s">
        <v>230</v>
      </c>
      <c r="D169" s="428"/>
      <c r="E169" s="373"/>
      <c r="F169" s="373"/>
      <c r="G169" s="373"/>
      <c r="H169" s="373"/>
      <c r="I169" s="373"/>
      <c r="J169" s="373"/>
      <c r="K169" s="373"/>
      <c r="L169" s="373"/>
      <c r="M169" s="373"/>
      <c r="N169" s="373"/>
      <c r="O169" s="373"/>
      <c r="P169" s="373"/>
      <c r="Q169" s="373"/>
      <c r="R169" s="373"/>
      <c r="S169" s="373"/>
      <c r="T169" s="373"/>
      <c r="U169" s="374">
        <f t="shared" si="69"/>
        <v>0</v>
      </c>
      <c r="V169" s="374"/>
      <c r="W169" s="374">
        <f t="shared" si="70"/>
        <v>0</v>
      </c>
      <c r="X169" s="375"/>
      <c r="Y169" s="376"/>
      <c r="Z169" s="408">
        <f t="shared" si="71"/>
        <v>0</v>
      </c>
      <c r="AA169" s="408">
        <f t="shared" si="72"/>
        <v>0</v>
      </c>
      <c r="AB169" s="408">
        <f t="shared" si="73"/>
        <v>0</v>
      </c>
      <c r="AC169" s="408">
        <f t="shared" si="74"/>
        <v>0</v>
      </c>
      <c r="AD169" s="408">
        <f t="shared" si="75"/>
        <v>0</v>
      </c>
      <c r="AE169" s="408">
        <f t="shared" si="76"/>
        <v>0</v>
      </c>
      <c r="AF169" s="408">
        <f t="shared" si="77"/>
        <v>0</v>
      </c>
      <c r="AG169" s="408">
        <f t="shared" si="78"/>
        <v>0</v>
      </c>
      <c r="AH169" s="408">
        <f t="shared" si="79"/>
        <v>0</v>
      </c>
      <c r="AI169" s="408">
        <f t="shared" si="80"/>
        <v>0</v>
      </c>
      <c r="AJ169" s="408">
        <f t="shared" si="81"/>
        <v>0</v>
      </c>
      <c r="AK169" s="408">
        <f t="shared" si="82"/>
        <v>0</v>
      </c>
      <c r="AL169" s="408">
        <f t="shared" si="83"/>
        <v>0</v>
      </c>
      <c r="AM169" s="408">
        <f t="shared" si="84"/>
        <v>0</v>
      </c>
      <c r="AN169" s="408">
        <f t="shared" si="85"/>
        <v>0</v>
      </c>
      <c r="AO169" s="408">
        <f t="shared" si="86"/>
        <v>0</v>
      </c>
    </row>
    <row r="170" spans="1:41" s="408" customFormat="1" ht="31.5" x14ac:dyDescent="0.2">
      <c r="A170" s="371"/>
      <c r="B170" s="427" t="s">
        <v>231</v>
      </c>
      <c r="C170" s="372" t="s">
        <v>463</v>
      </c>
      <c r="D170" s="427" t="s">
        <v>112</v>
      </c>
      <c r="E170" s="373"/>
      <c r="F170" s="373"/>
      <c r="G170" s="373"/>
      <c r="H170" s="373"/>
      <c r="I170" s="373"/>
      <c r="J170" s="373"/>
      <c r="K170" s="373"/>
      <c r="L170" s="373"/>
      <c r="M170" s="373"/>
      <c r="N170" s="373"/>
      <c r="O170" s="373"/>
      <c r="P170" s="373"/>
      <c r="Q170" s="373"/>
      <c r="R170" s="373"/>
      <c r="S170" s="373"/>
      <c r="T170" s="373"/>
      <c r="U170" s="374">
        <f t="shared" si="69"/>
        <v>0</v>
      </c>
      <c r="V170" s="374">
        <v>102</v>
      </c>
      <c r="W170" s="374">
        <f t="shared" si="70"/>
        <v>0</v>
      </c>
      <c r="X170" s="375"/>
      <c r="Y170" s="376"/>
      <c r="Z170" s="408">
        <f t="shared" si="71"/>
        <v>0</v>
      </c>
      <c r="AA170" s="408">
        <f t="shared" si="72"/>
        <v>0</v>
      </c>
      <c r="AB170" s="408">
        <f t="shared" si="73"/>
        <v>0</v>
      </c>
      <c r="AC170" s="408">
        <f t="shared" si="74"/>
        <v>0</v>
      </c>
      <c r="AD170" s="408">
        <f t="shared" si="75"/>
        <v>0</v>
      </c>
      <c r="AE170" s="408">
        <f t="shared" si="76"/>
        <v>0</v>
      </c>
      <c r="AF170" s="408">
        <f t="shared" si="77"/>
        <v>0</v>
      </c>
      <c r="AG170" s="408">
        <f t="shared" si="78"/>
        <v>0</v>
      </c>
      <c r="AH170" s="408">
        <f t="shared" si="79"/>
        <v>0</v>
      </c>
      <c r="AI170" s="408">
        <f t="shared" si="80"/>
        <v>0</v>
      </c>
      <c r="AJ170" s="408">
        <f t="shared" si="81"/>
        <v>0</v>
      </c>
      <c r="AK170" s="408">
        <f t="shared" si="82"/>
        <v>0</v>
      </c>
      <c r="AL170" s="408">
        <f t="shared" si="83"/>
        <v>0</v>
      </c>
      <c r="AM170" s="408">
        <f t="shared" si="84"/>
        <v>0</v>
      </c>
      <c r="AN170" s="408">
        <f t="shared" si="85"/>
        <v>0</v>
      </c>
      <c r="AO170" s="408">
        <f t="shared" si="86"/>
        <v>0</v>
      </c>
    </row>
    <row r="171" spans="1:41" s="408" customFormat="1" ht="15.75" x14ac:dyDescent="0.2">
      <c r="A171" s="371"/>
      <c r="B171" s="427" t="s">
        <v>233</v>
      </c>
      <c r="C171" s="372" t="s">
        <v>464</v>
      </c>
      <c r="D171" s="427" t="s">
        <v>112</v>
      </c>
      <c r="E171" s="373">
        <f>'allied infrastructre finishig w'!H69</f>
        <v>10000</v>
      </c>
      <c r="F171" s="373"/>
      <c r="G171" s="373"/>
      <c r="H171" s="373"/>
      <c r="I171" s="373"/>
      <c r="J171" s="373"/>
      <c r="K171" s="373"/>
      <c r="L171" s="373"/>
      <c r="M171" s="373"/>
      <c r="N171" s="373">
        <f>'CHIMNEY BOILER  FOUNDATION '!I115</f>
        <v>4080.7797532500003</v>
      </c>
      <c r="O171" s="373">
        <f>'HT YARD WITH CABLE TRENCH '!H65</f>
        <v>4651.6000000000004</v>
      </c>
      <c r="P171" s="373"/>
      <c r="Q171" s="373">
        <f>'PARKING '!H89</f>
        <v>10350</v>
      </c>
      <c r="R171" s="373"/>
      <c r="S171" s="373"/>
      <c r="T171" s="373"/>
      <c r="U171" s="374">
        <f t="shared" si="69"/>
        <v>29082.379753250003</v>
      </c>
      <c r="V171" s="374">
        <v>142.30000000000001</v>
      </c>
      <c r="W171" s="374">
        <f t="shared" si="70"/>
        <v>4138422.6388874757</v>
      </c>
      <c r="X171" s="375"/>
      <c r="Y171" s="376"/>
      <c r="Z171" s="408">
        <f t="shared" si="71"/>
        <v>1423000</v>
      </c>
      <c r="AA171" s="408">
        <f t="shared" si="72"/>
        <v>0</v>
      </c>
      <c r="AB171" s="408">
        <f t="shared" si="73"/>
        <v>0</v>
      </c>
      <c r="AC171" s="408">
        <f t="shared" si="74"/>
        <v>0</v>
      </c>
      <c r="AD171" s="408">
        <f t="shared" si="75"/>
        <v>0</v>
      </c>
      <c r="AE171" s="408">
        <f t="shared" si="76"/>
        <v>0</v>
      </c>
      <c r="AF171" s="408">
        <f t="shared" si="77"/>
        <v>0</v>
      </c>
      <c r="AG171" s="408">
        <f t="shared" si="78"/>
        <v>0</v>
      </c>
      <c r="AH171" s="408">
        <f t="shared" si="79"/>
        <v>0</v>
      </c>
      <c r="AI171" s="408">
        <f t="shared" si="80"/>
        <v>580694.95888747508</v>
      </c>
      <c r="AJ171" s="408">
        <f t="shared" si="81"/>
        <v>661922.68000000005</v>
      </c>
      <c r="AK171" s="408">
        <f t="shared" si="82"/>
        <v>0</v>
      </c>
      <c r="AL171" s="408">
        <f t="shared" si="83"/>
        <v>1472805.0000000002</v>
      </c>
      <c r="AM171" s="408">
        <f t="shared" si="84"/>
        <v>0</v>
      </c>
      <c r="AN171" s="408">
        <f t="shared" si="85"/>
        <v>0</v>
      </c>
      <c r="AO171" s="408">
        <f t="shared" si="86"/>
        <v>0</v>
      </c>
    </row>
    <row r="172" spans="1:41" s="408" customFormat="1" ht="15.75" x14ac:dyDescent="0.25">
      <c r="A172" s="371"/>
      <c r="B172" s="451"/>
      <c r="C172" s="452"/>
      <c r="D172" s="452"/>
      <c r="E172" s="373"/>
      <c r="F172" s="373"/>
      <c r="G172" s="373"/>
      <c r="H172" s="373"/>
      <c r="I172" s="373"/>
      <c r="J172" s="373"/>
      <c r="K172" s="373"/>
      <c r="L172" s="373"/>
      <c r="M172" s="373"/>
      <c r="N172" s="373"/>
      <c r="O172" s="373"/>
      <c r="P172" s="373"/>
      <c r="Q172" s="373"/>
      <c r="R172" s="373"/>
      <c r="S172" s="373"/>
      <c r="T172" s="373"/>
      <c r="U172" s="374">
        <f t="shared" si="69"/>
        <v>0</v>
      </c>
      <c r="V172" s="374"/>
      <c r="W172" s="374">
        <f t="shared" si="70"/>
        <v>0</v>
      </c>
      <c r="X172" s="375"/>
      <c r="Y172" s="376"/>
      <c r="Z172" s="408">
        <f t="shared" si="71"/>
        <v>0</v>
      </c>
      <c r="AA172" s="408">
        <f t="shared" si="72"/>
        <v>0</v>
      </c>
      <c r="AB172" s="408">
        <f t="shared" si="73"/>
        <v>0</v>
      </c>
      <c r="AC172" s="408">
        <f t="shared" si="74"/>
        <v>0</v>
      </c>
      <c r="AD172" s="408">
        <f t="shared" si="75"/>
        <v>0</v>
      </c>
      <c r="AE172" s="408">
        <f t="shared" si="76"/>
        <v>0</v>
      </c>
      <c r="AF172" s="408">
        <f t="shared" si="77"/>
        <v>0</v>
      </c>
      <c r="AG172" s="408">
        <f t="shared" si="78"/>
        <v>0</v>
      </c>
      <c r="AH172" s="408">
        <f t="shared" si="79"/>
        <v>0</v>
      </c>
      <c r="AI172" s="408">
        <f t="shared" si="80"/>
        <v>0</v>
      </c>
      <c r="AJ172" s="408">
        <f t="shared" si="81"/>
        <v>0</v>
      </c>
      <c r="AK172" s="408">
        <f t="shared" si="82"/>
        <v>0</v>
      </c>
      <c r="AL172" s="408">
        <f t="shared" si="83"/>
        <v>0</v>
      </c>
      <c r="AM172" s="408">
        <f t="shared" si="84"/>
        <v>0</v>
      </c>
      <c r="AN172" s="408">
        <f t="shared" si="85"/>
        <v>0</v>
      </c>
      <c r="AO172" s="408">
        <f t="shared" si="86"/>
        <v>0</v>
      </c>
    </row>
    <row r="173" spans="1:41" s="408" customFormat="1" ht="15.75" x14ac:dyDescent="0.2">
      <c r="A173" s="371">
        <v>56</v>
      </c>
      <c r="B173" s="465">
        <v>2612</v>
      </c>
      <c r="C173" s="372" t="s">
        <v>235</v>
      </c>
      <c r="D173" s="427" t="s">
        <v>236</v>
      </c>
      <c r="E173" s="373"/>
      <c r="F173" s="373"/>
      <c r="G173" s="373"/>
      <c r="H173" s="373"/>
      <c r="I173" s="373"/>
      <c r="J173" s="373"/>
      <c r="K173" s="373"/>
      <c r="L173" s="373"/>
      <c r="M173" s="373"/>
      <c r="N173" s="373"/>
      <c r="O173" s="373"/>
      <c r="P173" s="373"/>
      <c r="Q173" s="373"/>
      <c r="R173" s="373"/>
      <c r="S173" s="373"/>
      <c r="T173" s="373"/>
      <c r="U173" s="374">
        <f t="shared" si="69"/>
        <v>0</v>
      </c>
      <c r="V173" s="374">
        <v>11</v>
      </c>
      <c r="W173" s="374">
        <f t="shared" si="70"/>
        <v>0</v>
      </c>
      <c r="X173" s="375"/>
      <c r="Y173" s="376"/>
      <c r="Z173" s="408">
        <f t="shared" si="71"/>
        <v>0</v>
      </c>
      <c r="AA173" s="408">
        <f t="shared" si="72"/>
        <v>0</v>
      </c>
      <c r="AB173" s="408">
        <f t="shared" si="73"/>
        <v>0</v>
      </c>
      <c r="AC173" s="408">
        <f t="shared" si="74"/>
        <v>0</v>
      </c>
      <c r="AD173" s="408">
        <f t="shared" si="75"/>
        <v>0</v>
      </c>
      <c r="AE173" s="408">
        <f t="shared" si="76"/>
        <v>0</v>
      </c>
      <c r="AF173" s="408">
        <f t="shared" si="77"/>
        <v>0</v>
      </c>
      <c r="AG173" s="408">
        <f t="shared" si="78"/>
        <v>0</v>
      </c>
      <c r="AH173" s="408">
        <f t="shared" si="79"/>
        <v>0</v>
      </c>
      <c r="AI173" s="408">
        <f t="shared" si="80"/>
        <v>0</v>
      </c>
      <c r="AJ173" s="408">
        <f t="shared" si="81"/>
        <v>0</v>
      </c>
      <c r="AK173" s="408">
        <f t="shared" si="82"/>
        <v>0</v>
      </c>
      <c r="AL173" s="408">
        <f t="shared" si="83"/>
        <v>0</v>
      </c>
      <c r="AM173" s="408">
        <f t="shared" si="84"/>
        <v>0</v>
      </c>
      <c r="AN173" s="408">
        <f t="shared" si="85"/>
        <v>0</v>
      </c>
      <c r="AO173" s="408">
        <f t="shared" si="86"/>
        <v>0</v>
      </c>
    </row>
    <row r="174" spans="1:41" s="408" customFormat="1" ht="15.75" x14ac:dyDescent="0.25">
      <c r="A174" s="371"/>
      <c r="B174" s="451"/>
      <c r="C174" s="452"/>
      <c r="D174" s="452"/>
      <c r="E174" s="373"/>
      <c r="F174" s="373"/>
      <c r="G174" s="373"/>
      <c r="H174" s="373"/>
      <c r="I174" s="373"/>
      <c r="J174" s="373"/>
      <c r="K174" s="373"/>
      <c r="L174" s="373"/>
      <c r="M174" s="373"/>
      <c r="N174" s="373"/>
      <c r="O174" s="373"/>
      <c r="P174" s="373"/>
      <c r="Q174" s="373"/>
      <c r="R174" s="373"/>
      <c r="S174" s="373"/>
      <c r="T174" s="373"/>
      <c r="U174" s="374">
        <f t="shared" si="69"/>
        <v>0</v>
      </c>
      <c r="V174" s="374"/>
      <c r="W174" s="374">
        <f t="shared" si="70"/>
        <v>0</v>
      </c>
      <c r="X174" s="375"/>
      <c r="Y174" s="376"/>
      <c r="Z174" s="408">
        <f t="shared" si="71"/>
        <v>0</v>
      </c>
      <c r="AA174" s="408">
        <f t="shared" si="72"/>
        <v>0</v>
      </c>
      <c r="AB174" s="408">
        <f t="shared" si="73"/>
        <v>0</v>
      </c>
      <c r="AC174" s="408">
        <f t="shared" si="74"/>
        <v>0</v>
      </c>
      <c r="AD174" s="408">
        <f t="shared" si="75"/>
        <v>0</v>
      </c>
      <c r="AE174" s="408">
        <f t="shared" si="76"/>
        <v>0</v>
      </c>
      <c r="AF174" s="408">
        <f t="shared" si="77"/>
        <v>0</v>
      </c>
      <c r="AG174" s="408">
        <f t="shared" si="78"/>
        <v>0</v>
      </c>
      <c r="AH174" s="408">
        <f t="shared" si="79"/>
        <v>0</v>
      </c>
      <c r="AI174" s="408">
        <f t="shared" si="80"/>
        <v>0</v>
      </c>
      <c r="AJ174" s="408">
        <f t="shared" si="81"/>
        <v>0</v>
      </c>
      <c r="AK174" s="408">
        <f t="shared" si="82"/>
        <v>0</v>
      </c>
      <c r="AL174" s="408">
        <f t="shared" si="83"/>
        <v>0</v>
      </c>
      <c r="AM174" s="408">
        <f t="shared" si="84"/>
        <v>0</v>
      </c>
      <c r="AN174" s="408">
        <f t="shared" si="85"/>
        <v>0</v>
      </c>
      <c r="AO174" s="408">
        <f t="shared" si="86"/>
        <v>0</v>
      </c>
    </row>
    <row r="175" spans="1:41" s="408" customFormat="1" ht="141.75" x14ac:dyDescent="0.25">
      <c r="A175" s="371">
        <v>57</v>
      </c>
      <c r="B175" s="466">
        <v>16.91</v>
      </c>
      <c r="C175" s="456" t="s">
        <v>465</v>
      </c>
      <c r="D175" s="428"/>
      <c r="E175" s="373"/>
      <c r="F175" s="373"/>
      <c r="G175" s="373"/>
      <c r="H175" s="373"/>
      <c r="I175" s="373"/>
      <c r="J175" s="373"/>
      <c r="K175" s="373"/>
      <c r="L175" s="373"/>
      <c r="M175" s="373"/>
      <c r="N175" s="373"/>
      <c r="O175" s="373"/>
      <c r="P175" s="373"/>
      <c r="Q175" s="373"/>
      <c r="R175" s="373"/>
      <c r="S175" s="373"/>
      <c r="T175" s="373"/>
      <c r="U175" s="374">
        <f t="shared" si="69"/>
        <v>0</v>
      </c>
      <c r="V175" s="374"/>
      <c r="W175" s="374">
        <f t="shared" si="70"/>
        <v>0</v>
      </c>
      <c r="X175" s="375"/>
      <c r="Y175" s="376"/>
      <c r="Z175" s="408">
        <f t="shared" si="71"/>
        <v>0</v>
      </c>
      <c r="AA175" s="408">
        <f t="shared" si="72"/>
        <v>0</v>
      </c>
      <c r="AB175" s="408">
        <f t="shared" si="73"/>
        <v>0</v>
      </c>
      <c r="AC175" s="408">
        <f t="shared" si="74"/>
        <v>0</v>
      </c>
      <c r="AD175" s="408">
        <f t="shared" si="75"/>
        <v>0</v>
      </c>
      <c r="AE175" s="408">
        <f t="shared" si="76"/>
        <v>0</v>
      </c>
      <c r="AF175" s="408">
        <f t="shared" si="77"/>
        <v>0</v>
      </c>
      <c r="AG175" s="408">
        <f t="shared" si="78"/>
        <v>0</v>
      </c>
      <c r="AH175" s="408">
        <f t="shared" si="79"/>
        <v>0</v>
      </c>
      <c r="AI175" s="408">
        <f t="shared" si="80"/>
        <v>0</v>
      </c>
      <c r="AJ175" s="408">
        <f t="shared" si="81"/>
        <v>0</v>
      </c>
      <c r="AK175" s="408">
        <f t="shared" si="82"/>
        <v>0</v>
      </c>
      <c r="AL175" s="408">
        <f t="shared" si="83"/>
        <v>0</v>
      </c>
      <c r="AM175" s="408">
        <f t="shared" si="84"/>
        <v>0</v>
      </c>
      <c r="AN175" s="408">
        <f t="shared" si="85"/>
        <v>0</v>
      </c>
      <c r="AO175" s="408">
        <f t="shared" si="86"/>
        <v>0</v>
      </c>
    </row>
    <row r="176" spans="1:41" s="408" customFormat="1" ht="15.75" x14ac:dyDescent="0.2">
      <c r="A176" s="371"/>
      <c r="B176" s="466" t="s">
        <v>238</v>
      </c>
      <c r="C176" s="456" t="s">
        <v>466</v>
      </c>
      <c r="D176" s="467" t="s">
        <v>73</v>
      </c>
      <c r="E176" s="373">
        <f>'allied infrastructre finishig w'!H20</f>
        <v>12921</v>
      </c>
      <c r="F176" s="373"/>
      <c r="G176" s="373"/>
      <c r="H176" s="373"/>
      <c r="I176" s="373"/>
      <c r="J176" s="373"/>
      <c r="K176" s="373"/>
      <c r="L176" s="373"/>
      <c r="M176" s="373"/>
      <c r="N176" s="373"/>
      <c r="O176" s="373"/>
      <c r="P176" s="373"/>
      <c r="Q176" s="373"/>
      <c r="R176" s="373"/>
      <c r="S176" s="373"/>
      <c r="T176" s="373"/>
      <c r="U176" s="374">
        <f t="shared" si="69"/>
        <v>12921</v>
      </c>
      <c r="V176" s="374">
        <v>932.35</v>
      </c>
      <c r="W176" s="374">
        <f t="shared" si="70"/>
        <v>12046894.35</v>
      </c>
      <c r="X176" s="375"/>
      <c r="Y176" s="376"/>
      <c r="Z176" s="408">
        <f t="shared" si="71"/>
        <v>12046894.35</v>
      </c>
      <c r="AA176" s="408">
        <f t="shared" si="72"/>
        <v>0</v>
      </c>
      <c r="AB176" s="408">
        <f t="shared" si="73"/>
        <v>0</v>
      </c>
      <c r="AC176" s="408">
        <f t="shared" si="74"/>
        <v>0</v>
      </c>
      <c r="AD176" s="408">
        <f t="shared" si="75"/>
        <v>0</v>
      </c>
      <c r="AE176" s="408">
        <f t="shared" si="76"/>
        <v>0</v>
      </c>
      <c r="AF176" s="408">
        <f t="shared" si="77"/>
        <v>0</v>
      </c>
      <c r="AG176" s="408">
        <f t="shared" si="78"/>
        <v>0</v>
      </c>
      <c r="AH176" s="408">
        <f t="shared" si="79"/>
        <v>0</v>
      </c>
      <c r="AI176" s="408">
        <f t="shared" si="80"/>
        <v>0</v>
      </c>
      <c r="AJ176" s="408">
        <f t="shared" si="81"/>
        <v>0</v>
      </c>
      <c r="AK176" s="408">
        <f t="shared" si="82"/>
        <v>0</v>
      </c>
      <c r="AL176" s="408">
        <f t="shared" si="83"/>
        <v>0</v>
      </c>
      <c r="AM176" s="408">
        <f t="shared" si="84"/>
        <v>0</v>
      </c>
      <c r="AN176" s="408">
        <f t="shared" si="85"/>
        <v>0</v>
      </c>
      <c r="AO176" s="408">
        <f t="shared" si="86"/>
        <v>0</v>
      </c>
    </row>
    <row r="177" spans="1:41" s="408" customFormat="1" ht="15.75" x14ac:dyDescent="0.2">
      <c r="A177" s="371"/>
      <c r="B177" s="466" t="s">
        <v>240</v>
      </c>
      <c r="C177" s="456" t="s">
        <v>467</v>
      </c>
      <c r="D177" s="467" t="s">
        <v>73</v>
      </c>
      <c r="E177" s="373"/>
      <c r="F177" s="373"/>
      <c r="G177" s="373"/>
      <c r="H177" s="373"/>
      <c r="I177" s="373"/>
      <c r="J177" s="373"/>
      <c r="K177" s="373"/>
      <c r="L177" s="373"/>
      <c r="M177" s="373"/>
      <c r="N177" s="373"/>
      <c r="O177" s="373"/>
      <c r="P177" s="373"/>
      <c r="Q177" s="373">
        <f>'PARKING '!H101</f>
        <v>668</v>
      </c>
      <c r="R177" s="373"/>
      <c r="S177" s="373"/>
      <c r="T177" s="373">
        <f>'LIQUID STORAGE PLATFORM '!H45</f>
        <v>260</v>
      </c>
      <c r="U177" s="374">
        <f t="shared" si="69"/>
        <v>928</v>
      </c>
      <c r="V177" s="374">
        <v>1011.2</v>
      </c>
      <c r="W177" s="374">
        <f t="shared" si="70"/>
        <v>938393.60000000009</v>
      </c>
      <c r="X177" s="375"/>
      <c r="Y177" s="376"/>
      <c r="Z177" s="408">
        <f t="shared" si="71"/>
        <v>0</v>
      </c>
      <c r="AA177" s="408">
        <f t="shared" si="72"/>
        <v>0</v>
      </c>
      <c r="AB177" s="408">
        <f t="shared" si="73"/>
        <v>0</v>
      </c>
      <c r="AC177" s="408">
        <f t="shared" si="74"/>
        <v>0</v>
      </c>
      <c r="AD177" s="408">
        <f t="shared" si="75"/>
        <v>0</v>
      </c>
      <c r="AE177" s="408">
        <f t="shared" si="76"/>
        <v>0</v>
      </c>
      <c r="AF177" s="408">
        <f t="shared" si="77"/>
        <v>0</v>
      </c>
      <c r="AG177" s="408">
        <f t="shared" si="78"/>
        <v>0</v>
      </c>
      <c r="AH177" s="408">
        <f t="shared" si="79"/>
        <v>0</v>
      </c>
      <c r="AI177" s="408">
        <f t="shared" si="80"/>
        <v>0</v>
      </c>
      <c r="AJ177" s="408">
        <f t="shared" si="81"/>
        <v>0</v>
      </c>
      <c r="AK177" s="408">
        <f t="shared" si="82"/>
        <v>0</v>
      </c>
      <c r="AL177" s="408">
        <f t="shared" si="83"/>
        <v>675481.59999999998</v>
      </c>
      <c r="AM177" s="408">
        <f t="shared" si="84"/>
        <v>0</v>
      </c>
      <c r="AN177" s="408">
        <f t="shared" si="85"/>
        <v>0</v>
      </c>
      <c r="AO177" s="408">
        <f t="shared" si="86"/>
        <v>262912</v>
      </c>
    </row>
    <row r="178" spans="1:41" s="408" customFormat="1" ht="15.75" x14ac:dyDescent="0.25">
      <c r="A178" s="371"/>
      <c r="B178" s="451"/>
      <c r="C178" s="452"/>
      <c r="D178" s="452"/>
      <c r="E178" s="373"/>
      <c r="F178" s="373"/>
      <c r="G178" s="373"/>
      <c r="H178" s="373"/>
      <c r="I178" s="373"/>
      <c r="J178" s="373"/>
      <c r="K178" s="373"/>
      <c r="L178" s="373"/>
      <c r="M178" s="373"/>
      <c r="N178" s="373"/>
      <c r="O178" s="373"/>
      <c r="P178" s="373"/>
      <c r="Q178" s="373"/>
      <c r="R178" s="373"/>
      <c r="S178" s="373"/>
      <c r="T178" s="373"/>
      <c r="U178" s="374">
        <f t="shared" si="69"/>
        <v>0</v>
      </c>
      <c r="V178" s="374"/>
      <c r="W178" s="374">
        <f t="shared" si="70"/>
        <v>0</v>
      </c>
      <c r="X178" s="375"/>
      <c r="Y178" s="376"/>
      <c r="Z178" s="408">
        <f t="shared" si="71"/>
        <v>0</v>
      </c>
      <c r="AA178" s="408">
        <f t="shared" si="72"/>
        <v>0</v>
      </c>
      <c r="AB178" s="408">
        <f t="shared" si="73"/>
        <v>0</v>
      </c>
      <c r="AC178" s="408">
        <f t="shared" si="74"/>
        <v>0</v>
      </c>
      <c r="AD178" s="408">
        <f t="shared" si="75"/>
        <v>0</v>
      </c>
      <c r="AE178" s="408">
        <f t="shared" si="76"/>
        <v>0</v>
      </c>
      <c r="AF178" s="408">
        <f t="shared" si="77"/>
        <v>0</v>
      </c>
      <c r="AG178" s="408">
        <f t="shared" si="78"/>
        <v>0</v>
      </c>
      <c r="AH178" s="408">
        <f t="shared" si="79"/>
        <v>0</v>
      </c>
      <c r="AI178" s="408">
        <f t="shared" si="80"/>
        <v>0</v>
      </c>
      <c r="AJ178" s="408">
        <f t="shared" si="81"/>
        <v>0</v>
      </c>
      <c r="AK178" s="408">
        <f t="shared" si="82"/>
        <v>0</v>
      </c>
      <c r="AL178" s="408">
        <f t="shared" si="83"/>
        <v>0</v>
      </c>
      <c r="AM178" s="408">
        <f t="shared" si="84"/>
        <v>0</v>
      </c>
      <c r="AN178" s="408">
        <f t="shared" si="85"/>
        <v>0</v>
      </c>
      <c r="AO178" s="408">
        <f t="shared" si="86"/>
        <v>0</v>
      </c>
    </row>
    <row r="179" spans="1:41" s="408" customFormat="1" ht="63" x14ac:dyDescent="0.2">
      <c r="A179" s="371">
        <v>58</v>
      </c>
      <c r="B179" s="468">
        <v>13.52</v>
      </c>
      <c r="C179" s="469" t="s">
        <v>242</v>
      </c>
      <c r="D179" s="467"/>
      <c r="E179" s="373"/>
      <c r="F179" s="373"/>
      <c r="G179" s="373"/>
      <c r="H179" s="373"/>
      <c r="I179" s="373"/>
      <c r="J179" s="373"/>
      <c r="K179" s="373"/>
      <c r="L179" s="373"/>
      <c r="M179" s="373"/>
      <c r="N179" s="373"/>
      <c r="O179" s="373"/>
      <c r="P179" s="373"/>
      <c r="Q179" s="373"/>
      <c r="R179" s="373"/>
      <c r="S179" s="373"/>
      <c r="T179" s="373"/>
      <c r="U179" s="374">
        <f t="shared" si="69"/>
        <v>0</v>
      </c>
      <c r="V179" s="374"/>
      <c r="W179" s="374">
        <f t="shared" si="70"/>
        <v>0</v>
      </c>
      <c r="X179" s="375"/>
      <c r="Y179" s="376"/>
      <c r="Z179" s="408">
        <f t="shared" si="71"/>
        <v>0</v>
      </c>
      <c r="AA179" s="408">
        <f t="shared" si="72"/>
        <v>0</v>
      </c>
      <c r="AB179" s="408">
        <f t="shared" si="73"/>
        <v>0</v>
      </c>
      <c r="AC179" s="408">
        <f t="shared" si="74"/>
        <v>0</v>
      </c>
      <c r="AD179" s="408">
        <f t="shared" si="75"/>
        <v>0</v>
      </c>
      <c r="AE179" s="408">
        <f t="shared" si="76"/>
        <v>0</v>
      </c>
      <c r="AF179" s="408">
        <f t="shared" si="77"/>
        <v>0</v>
      </c>
      <c r="AG179" s="408">
        <f t="shared" si="78"/>
        <v>0</v>
      </c>
      <c r="AH179" s="408">
        <f t="shared" si="79"/>
        <v>0</v>
      </c>
      <c r="AI179" s="408">
        <f t="shared" si="80"/>
        <v>0</v>
      </c>
      <c r="AJ179" s="408">
        <f t="shared" si="81"/>
        <v>0</v>
      </c>
      <c r="AK179" s="408">
        <f t="shared" si="82"/>
        <v>0</v>
      </c>
      <c r="AL179" s="408">
        <f t="shared" si="83"/>
        <v>0</v>
      </c>
      <c r="AM179" s="408">
        <f t="shared" si="84"/>
        <v>0</v>
      </c>
      <c r="AN179" s="408">
        <f t="shared" si="85"/>
        <v>0</v>
      </c>
      <c r="AO179" s="408">
        <f t="shared" si="86"/>
        <v>0</v>
      </c>
    </row>
    <row r="180" spans="1:41" s="408" customFormat="1" ht="15.75" x14ac:dyDescent="0.2">
      <c r="A180" s="371"/>
      <c r="B180" s="468" t="s">
        <v>243</v>
      </c>
      <c r="C180" s="469" t="s">
        <v>244</v>
      </c>
      <c r="D180" s="467" t="s">
        <v>73</v>
      </c>
      <c r="E180" s="373"/>
      <c r="F180" s="373"/>
      <c r="G180" s="373"/>
      <c r="H180" s="373"/>
      <c r="I180" s="373"/>
      <c r="J180" s="373"/>
      <c r="K180" s="373"/>
      <c r="L180" s="373"/>
      <c r="M180" s="373"/>
      <c r="N180" s="373"/>
      <c r="O180" s="373"/>
      <c r="P180" s="373"/>
      <c r="Q180" s="373"/>
      <c r="R180" s="373"/>
      <c r="S180" s="373">
        <f>'PLOT BOUNDARY 103,104'!H39</f>
        <v>570</v>
      </c>
      <c r="T180" s="373"/>
      <c r="U180" s="374">
        <f t="shared" si="69"/>
        <v>570</v>
      </c>
      <c r="V180" s="374">
        <v>201.7</v>
      </c>
      <c r="W180" s="374">
        <f t="shared" ref="W180:W211" si="87">U180*V180</f>
        <v>114969</v>
      </c>
      <c r="X180" s="375"/>
      <c r="Y180" s="376"/>
      <c r="Z180" s="408">
        <f t="shared" ref="Z180:Z216" si="88">V180*E180</f>
        <v>0</v>
      </c>
      <c r="AA180" s="408">
        <f t="shared" ref="AA180:AA216" si="89">V180*F180</f>
        <v>0</v>
      </c>
      <c r="AB180" s="408">
        <f t="shared" ref="AB180:AB216" si="90">V180*G180</f>
        <v>0</v>
      </c>
      <c r="AC180" s="408">
        <f t="shared" ref="AC180:AC216" si="91">V180*H180</f>
        <v>0</v>
      </c>
      <c r="AD180" s="408">
        <f t="shared" ref="AD180:AD216" si="92">V180*I180</f>
        <v>0</v>
      </c>
      <c r="AE180" s="408">
        <f t="shared" ref="AE180:AE216" si="93">V180*J180</f>
        <v>0</v>
      </c>
      <c r="AF180" s="408">
        <f t="shared" ref="AF180:AF216" si="94">V180*K180</f>
        <v>0</v>
      </c>
      <c r="AG180" s="408">
        <f t="shared" ref="AG180:AG216" si="95">V180*L180</f>
        <v>0</v>
      </c>
      <c r="AH180" s="408">
        <f t="shared" ref="AH180:AH216" si="96">V180*M180</f>
        <v>0</v>
      </c>
      <c r="AI180" s="408">
        <f t="shared" ref="AI180:AI216" si="97">V180*N180</f>
        <v>0</v>
      </c>
      <c r="AJ180" s="408">
        <f t="shared" ref="AJ180:AJ216" si="98">V180*O180</f>
        <v>0</v>
      </c>
      <c r="AK180" s="408">
        <f t="shared" si="82"/>
        <v>0</v>
      </c>
      <c r="AL180" s="408">
        <f t="shared" ref="AL180:AL216" si="99">V180*Q180</f>
        <v>0</v>
      </c>
      <c r="AM180" s="408">
        <f t="shared" ref="AM180:AM216" si="100">V180*R180</f>
        <v>0</v>
      </c>
      <c r="AN180" s="408">
        <f t="shared" ref="AN180:AN216" si="101">V180*S180</f>
        <v>114969</v>
      </c>
      <c r="AO180" s="408">
        <f t="shared" ref="AO180:AO216" si="102">V180*T180</f>
        <v>0</v>
      </c>
    </row>
    <row r="181" spans="1:41" s="408" customFormat="1" ht="15.75" x14ac:dyDescent="0.2">
      <c r="A181" s="371"/>
      <c r="B181" s="470"/>
      <c r="C181" s="395"/>
      <c r="D181" s="420"/>
      <c r="E181" s="373"/>
      <c r="F181" s="373"/>
      <c r="G181" s="373"/>
      <c r="H181" s="373"/>
      <c r="I181" s="373"/>
      <c r="J181" s="373"/>
      <c r="K181" s="373"/>
      <c r="L181" s="373"/>
      <c r="M181" s="373"/>
      <c r="N181" s="373"/>
      <c r="O181" s="373"/>
      <c r="P181" s="373"/>
      <c r="Q181" s="373"/>
      <c r="R181" s="373"/>
      <c r="S181" s="373"/>
      <c r="T181" s="373"/>
      <c r="U181" s="374">
        <f t="shared" si="69"/>
        <v>0</v>
      </c>
      <c r="V181" s="374"/>
      <c r="W181" s="374">
        <f t="shared" si="87"/>
        <v>0</v>
      </c>
      <c r="X181" s="375"/>
      <c r="Y181" s="376"/>
      <c r="Z181" s="408">
        <f t="shared" si="88"/>
        <v>0</v>
      </c>
      <c r="AA181" s="408">
        <f t="shared" si="89"/>
        <v>0</v>
      </c>
      <c r="AB181" s="408">
        <f t="shared" si="90"/>
        <v>0</v>
      </c>
      <c r="AC181" s="408">
        <f t="shared" si="91"/>
        <v>0</v>
      </c>
      <c r="AD181" s="408">
        <f t="shared" si="92"/>
        <v>0</v>
      </c>
      <c r="AE181" s="408">
        <f t="shared" si="93"/>
        <v>0</v>
      </c>
      <c r="AF181" s="408">
        <f t="shared" si="94"/>
        <v>0</v>
      </c>
      <c r="AG181" s="408">
        <f t="shared" si="95"/>
        <v>0</v>
      </c>
      <c r="AH181" s="408">
        <f t="shared" si="96"/>
        <v>0</v>
      </c>
      <c r="AI181" s="408">
        <f t="shared" si="97"/>
        <v>0</v>
      </c>
      <c r="AJ181" s="408">
        <f t="shared" si="98"/>
        <v>0</v>
      </c>
      <c r="AK181" s="408">
        <f t="shared" si="82"/>
        <v>0</v>
      </c>
      <c r="AL181" s="408">
        <f t="shared" si="99"/>
        <v>0</v>
      </c>
      <c r="AM181" s="408">
        <f t="shared" si="100"/>
        <v>0</v>
      </c>
      <c r="AN181" s="408">
        <f t="shared" si="101"/>
        <v>0</v>
      </c>
      <c r="AO181" s="408">
        <f t="shared" si="102"/>
        <v>0</v>
      </c>
    </row>
    <row r="182" spans="1:41" s="408" customFormat="1" ht="15.75" x14ac:dyDescent="0.2">
      <c r="A182" s="371">
        <v>59</v>
      </c>
      <c r="B182" s="471" t="s">
        <v>138</v>
      </c>
      <c r="D182" s="420"/>
      <c r="E182" s="373"/>
      <c r="F182" s="373"/>
      <c r="G182" s="373"/>
      <c r="H182" s="373"/>
      <c r="I182" s="373"/>
      <c r="J182" s="373"/>
      <c r="K182" s="373"/>
      <c r="L182" s="373"/>
      <c r="M182" s="373"/>
      <c r="N182" s="373"/>
      <c r="O182" s="373"/>
      <c r="P182" s="373"/>
      <c r="Q182" s="373"/>
      <c r="R182" s="373"/>
      <c r="S182" s="373"/>
      <c r="T182" s="373"/>
      <c r="U182" s="374">
        <f t="shared" si="69"/>
        <v>0</v>
      </c>
      <c r="V182" s="374"/>
      <c r="W182" s="374">
        <f t="shared" si="87"/>
        <v>0</v>
      </c>
      <c r="X182" s="375"/>
      <c r="Y182" s="376"/>
      <c r="Z182" s="408">
        <f t="shared" si="88"/>
        <v>0</v>
      </c>
      <c r="AA182" s="408">
        <f t="shared" si="89"/>
        <v>0</v>
      </c>
      <c r="AB182" s="408">
        <f t="shared" si="90"/>
        <v>0</v>
      </c>
      <c r="AC182" s="408">
        <f t="shared" si="91"/>
        <v>0</v>
      </c>
      <c r="AD182" s="408">
        <f t="shared" si="92"/>
        <v>0</v>
      </c>
      <c r="AE182" s="408">
        <f t="shared" si="93"/>
        <v>0</v>
      </c>
      <c r="AF182" s="408">
        <f t="shared" si="94"/>
        <v>0</v>
      </c>
      <c r="AG182" s="408">
        <f t="shared" si="95"/>
        <v>0</v>
      </c>
      <c r="AH182" s="408">
        <f t="shared" si="96"/>
        <v>0</v>
      </c>
      <c r="AI182" s="408">
        <f t="shared" si="97"/>
        <v>0</v>
      </c>
      <c r="AJ182" s="408">
        <f t="shared" si="98"/>
        <v>0</v>
      </c>
      <c r="AK182" s="408">
        <f t="shared" si="82"/>
        <v>0</v>
      </c>
      <c r="AL182" s="408">
        <f t="shared" si="99"/>
        <v>0</v>
      </c>
      <c r="AM182" s="408">
        <f t="shared" si="100"/>
        <v>0</v>
      </c>
      <c r="AN182" s="408">
        <f t="shared" si="101"/>
        <v>0</v>
      </c>
      <c r="AO182" s="408">
        <f t="shared" si="102"/>
        <v>0</v>
      </c>
    </row>
    <row r="183" spans="1:41" s="408" customFormat="1" ht="15.75" x14ac:dyDescent="0.2">
      <c r="A183" s="371"/>
      <c r="B183" s="472">
        <v>1</v>
      </c>
      <c r="C183" s="395" t="s">
        <v>245</v>
      </c>
      <c r="D183" s="420" t="s">
        <v>246</v>
      </c>
      <c r="E183" s="373"/>
      <c r="F183" s="373"/>
      <c r="G183" s="373"/>
      <c r="H183" s="373"/>
      <c r="I183" s="373"/>
      <c r="J183" s="373"/>
      <c r="K183" s="373"/>
      <c r="L183" s="373"/>
      <c r="M183" s="373"/>
      <c r="N183" s="373"/>
      <c r="O183" s="373"/>
      <c r="P183" s="373"/>
      <c r="Q183" s="373"/>
      <c r="R183" s="373"/>
      <c r="S183" s="373">
        <f>'PLOT BOUNDARY 103,104'!H42</f>
        <v>300</v>
      </c>
      <c r="T183" s="373"/>
      <c r="U183" s="374">
        <f t="shared" si="69"/>
        <v>300</v>
      </c>
      <c r="V183" s="473">
        <v>250</v>
      </c>
      <c r="W183" s="374">
        <f t="shared" si="87"/>
        <v>75000</v>
      </c>
      <c r="X183" s="375"/>
      <c r="Y183" s="376"/>
      <c r="Z183" s="408">
        <f t="shared" si="88"/>
        <v>0</v>
      </c>
      <c r="AA183" s="408">
        <f t="shared" si="89"/>
        <v>0</v>
      </c>
      <c r="AB183" s="408">
        <f t="shared" si="90"/>
        <v>0</v>
      </c>
      <c r="AC183" s="408">
        <f t="shared" si="91"/>
        <v>0</v>
      </c>
      <c r="AD183" s="408">
        <f t="shared" si="92"/>
        <v>0</v>
      </c>
      <c r="AE183" s="408">
        <f t="shared" si="93"/>
        <v>0</v>
      </c>
      <c r="AF183" s="408">
        <f t="shared" si="94"/>
        <v>0</v>
      </c>
      <c r="AG183" s="408">
        <f t="shared" si="95"/>
        <v>0</v>
      </c>
      <c r="AH183" s="408">
        <f t="shared" si="96"/>
        <v>0</v>
      </c>
      <c r="AI183" s="408">
        <f t="shared" si="97"/>
        <v>0</v>
      </c>
      <c r="AJ183" s="408">
        <f t="shared" si="98"/>
        <v>0</v>
      </c>
      <c r="AK183" s="408">
        <f t="shared" si="82"/>
        <v>0</v>
      </c>
      <c r="AL183" s="408">
        <f t="shared" si="99"/>
        <v>0</v>
      </c>
      <c r="AM183" s="408">
        <f t="shared" si="100"/>
        <v>0</v>
      </c>
      <c r="AN183" s="408">
        <f t="shared" si="101"/>
        <v>75000</v>
      </c>
      <c r="AO183" s="408">
        <f t="shared" si="102"/>
        <v>0</v>
      </c>
    </row>
    <row r="184" spans="1:41" s="408" customFormat="1" ht="15.75" x14ac:dyDescent="0.2">
      <c r="A184" s="371"/>
      <c r="B184" s="472" t="s">
        <v>226</v>
      </c>
      <c r="C184" s="395" t="s">
        <v>247</v>
      </c>
      <c r="D184" s="420" t="s">
        <v>248</v>
      </c>
      <c r="E184" s="373"/>
      <c r="F184" s="373"/>
      <c r="G184" s="373"/>
      <c r="H184" s="373"/>
      <c r="I184" s="373"/>
      <c r="J184" s="373"/>
      <c r="K184" s="373"/>
      <c r="L184" s="373"/>
      <c r="M184" s="373"/>
      <c r="N184" s="373"/>
      <c r="O184" s="373"/>
      <c r="P184" s="373"/>
      <c r="Q184" s="373"/>
      <c r="R184" s="373"/>
      <c r="S184" s="373"/>
      <c r="T184" s="373"/>
      <c r="U184" s="374">
        <f t="shared" si="69"/>
        <v>0</v>
      </c>
      <c r="V184" s="473">
        <v>300</v>
      </c>
      <c r="W184" s="374">
        <f t="shared" si="87"/>
        <v>0</v>
      </c>
      <c r="X184" s="375"/>
      <c r="Y184" s="376"/>
      <c r="Z184" s="408">
        <f t="shared" si="88"/>
        <v>0</v>
      </c>
      <c r="AA184" s="408">
        <f t="shared" si="89"/>
        <v>0</v>
      </c>
      <c r="AB184" s="408">
        <f t="shared" si="90"/>
        <v>0</v>
      </c>
      <c r="AC184" s="408">
        <f t="shared" si="91"/>
        <v>0</v>
      </c>
      <c r="AD184" s="408">
        <f t="shared" si="92"/>
        <v>0</v>
      </c>
      <c r="AE184" s="408">
        <f t="shared" si="93"/>
        <v>0</v>
      </c>
      <c r="AF184" s="408">
        <f t="shared" si="94"/>
        <v>0</v>
      </c>
      <c r="AG184" s="408">
        <f t="shared" si="95"/>
        <v>0</v>
      </c>
      <c r="AH184" s="408">
        <f t="shared" si="96"/>
        <v>0</v>
      </c>
      <c r="AI184" s="408">
        <f t="shared" si="97"/>
        <v>0</v>
      </c>
      <c r="AJ184" s="408">
        <f t="shared" si="98"/>
        <v>0</v>
      </c>
      <c r="AK184" s="408">
        <f t="shared" si="82"/>
        <v>0</v>
      </c>
      <c r="AL184" s="408">
        <f t="shared" si="99"/>
        <v>0</v>
      </c>
      <c r="AM184" s="408">
        <f t="shared" si="100"/>
        <v>0</v>
      </c>
      <c r="AN184" s="408">
        <f t="shared" si="101"/>
        <v>0</v>
      </c>
      <c r="AO184" s="408">
        <f t="shared" si="102"/>
        <v>0</v>
      </c>
    </row>
    <row r="185" spans="1:41" s="408" customFormat="1" ht="15.75" x14ac:dyDescent="0.2">
      <c r="A185" s="371"/>
      <c r="B185" s="472">
        <v>2</v>
      </c>
      <c r="C185" s="395" t="s">
        <v>249</v>
      </c>
      <c r="D185" s="420" t="s">
        <v>250</v>
      </c>
      <c r="E185" s="373"/>
      <c r="F185" s="373"/>
      <c r="G185" s="373"/>
      <c r="H185" s="373"/>
      <c r="I185" s="373"/>
      <c r="J185" s="373"/>
      <c r="K185" s="373"/>
      <c r="L185" s="373"/>
      <c r="M185" s="373"/>
      <c r="N185" s="373"/>
      <c r="O185" s="373"/>
      <c r="P185" s="373"/>
      <c r="Q185" s="373"/>
      <c r="R185" s="373"/>
      <c r="S185" s="373">
        <f>'PLOT BOUNDARY 103,104'!H44</f>
        <v>900</v>
      </c>
      <c r="T185" s="373"/>
      <c r="U185" s="374">
        <f t="shared" si="69"/>
        <v>900</v>
      </c>
      <c r="V185" s="473">
        <v>130</v>
      </c>
      <c r="W185" s="374">
        <f t="shared" si="87"/>
        <v>117000</v>
      </c>
      <c r="X185" s="375"/>
      <c r="Y185" s="376"/>
      <c r="Z185" s="408">
        <f t="shared" si="88"/>
        <v>0</v>
      </c>
      <c r="AA185" s="408">
        <f t="shared" si="89"/>
        <v>0</v>
      </c>
      <c r="AB185" s="408">
        <f t="shared" si="90"/>
        <v>0</v>
      </c>
      <c r="AC185" s="408">
        <f t="shared" si="91"/>
        <v>0</v>
      </c>
      <c r="AD185" s="408">
        <f t="shared" si="92"/>
        <v>0</v>
      </c>
      <c r="AE185" s="408">
        <f t="shared" si="93"/>
        <v>0</v>
      </c>
      <c r="AF185" s="408">
        <f t="shared" si="94"/>
        <v>0</v>
      </c>
      <c r="AG185" s="408">
        <f t="shared" si="95"/>
        <v>0</v>
      </c>
      <c r="AH185" s="408">
        <f t="shared" si="96"/>
        <v>0</v>
      </c>
      <c r="AI185" s="408">
        <f t="shared" si="97"/>
        <v>0</v>
      </c>
      <c r="AJ185" s="408">
        <f t="shared" si="98"/>
        <v>0</v>
      </c>
      <c r="AK185" s="408">
        <f t="shared" si="82"/>
        <v>0</v>
      </c>
      <c r="AL185" s="408">
        <f t="shared" si="99"/>
        <v>0</v>
      </c>
      <c r="AM185" s="408">
        <f t="shared" si="100"/>
        <v>0</v>
      </c>
      <c r="AN185" s="408">
        <f t="shared" si="101"/>
        <v>117000</v>
      </c>
      <c r="AO185" s="408">
        <f t="shared" si="102"/>
        <v>0</v>
      </c>
    </row>
    <row r="186" spans="1:41" s="408" customFormat="1" ht="15.75" x14ac:dyDescent="0.2">
      <c r="A186" s="371"/>
      <c r="B186" s="472" t="s">
        <v>251</v>
      </c>
      <c r="C186" s="395" t="s">
        <v>252</v>
      </c>
      <c r="D186" s="420" t="s">
        <v>218</v>
      </c>
      <c r="E186" s="373"/>
      <c r="F186" s="373"/>
      <c r="G186" s="373"/>
      <c r="H186" s="373"/>
      <c r="I186" s="373"/>
      <c r="J186" s="373"/>
      <c r="K186" s="373"/>
      <c r="L186" s="373"/>
      <c r="M186" s="373"/>
      <c r="N186" s="373"/>
      <c r="O186" s="373"/>
      <c r="P186" s="373"/>
      <c r="Q186" s="373"/>
      <c r="R186" s="373"/>
      <c r="S186" s="373"/>
      <c r="T186" s="373"/>
      <c r="U186" s="374">
        <f t="shared" si="69"/>
        <v>0</v>
      </c>
      <c r="V186" s="473">
        <v>180</v>
      </c>
      <c r="W186" s="374">
        <f t="shared" si="87"/>
        <v>0</v>
      </c>
      <c r="X186" s="375"/>
      <c r="Y186" s="376"/>
      <c r="Z186" s="408">
        <f t="shared" si="88"/>
        <v>0</v>
      </c>
      <c r="AA186" s="408">
        <f t="shared" si="89"/>
        <v>0</v>
      </c>
      <c r="AB186" s="408">
        <f t="shared" si="90"/>
        <v>0</v>
      </c>
      <c r="AC186" s="408">
        <f t="shared" si="91"/>
        <v>0</v>
      </c>
      <c r="AD186" s="408">
        <f t="shared" si="92"/>
        <v>0</v>
      </c>
      <c r="AE186" s="408">
        <f t="shared" si="93"/>
        <v>0</v>
      </c>
      <c r="AF186" s="408">
        <f t="shared" si="94"/>
        <v>0</v>
      </c>
      <c r="AG186" s="408">
        <f t="shared" si="95"/>
        <v>0</v>
      </c>
      <c r="AH186" s="408">
        <f t="shared" si="96"/>
        <v>0</v>
      </c>
      <c r="AI186" s="408">
        <f t="shared" si="97"/>
        <v>0</v>
      </c>
      <c r="AJ186" s="408">
        <f t="shared" si="98"/>
        <v>0</v>
      </c>
      <c r="AK186" s="408">
        <f t="shared" si="82"/>
        <v>0</v>
      </c>
      <c r="AL186" s="408">
        <f t="shared" si="99"/>
        <v>0</v>
      </c>
      <c r="AM186" s="408">
        <f t="shared" si="100"/>
        <v>0</v>
      </c>
      <c r="AN186" s="408">
        <f t="shared" si="101"/>
        <v>0</v>
      </c>
      <c r="AO186" s="408">
        <f t="shared" si="102"/>
        <v>0</v>
      </c>
    </row>
    <row r="187" spans="1:41" s="408" customFormat="1" ht="15.75" x14ac:dyDescent="0.2">
      <c r="A187" s="371"/>
      <c r="B187" s="472">
        <v>3</v>
      </c>
      <c r="C187" s="395" t="s">
        <v>253</v>
      </c>
      <c r="D187" s="420" t="s">
        <v>250</v>
      </c>
      <c r="E187" s="373"/>
      <c r="F187" s="373"/>
      <c r="G187" s="373"/>
      <c r="H187" s="373"/>
      <c r="I187" s="373"/>
      <c r="J187" s="373"/>
      <c r="K187" s="373"/>
      <c r="L187" s="373"/>
      <c r="M187" s="373"/>
      <c r="N187" s="373"/>
      <c r="O187" s="373"/>
      <c r="P187" s="373"/>
      <c r="Q187" s="373"/>
      <c r="R187" s="373"/>
      <c r="S187" s="373">
        <f>'PLOT BOUNDARY 103,104'!H46</f>
        <v>3348</v>
      </c>
      <c r="T187" s="373"/>
      <c r="U187" s="374">
        <f t="shared" si="69"/>
        <v>3348</v>
      </c>
      <c r="V187" s="473">
        <v>130</v>
      </c>
      <c r="W187" s="374">
        <f t="shared" si="87"/>
        <v>435240</v>
      </c>
      <c r="X187" s="375"/>
      <c r="Y187" s="376"/>
      <c r="Z187" s="408">
        <f t="shared" si="88"/>
        <v>0</v>
      </c>
      <c r="AA187" s="408">
        <f t="shared" si="89"/>
        <v>0</v>
      </c>
      <c r="AB187" s="408">
        <f t="shared" si="90"/>
        <v>0</v>
      </c>
      <c r="AC187" s="408">
        <f t="shared" si="91"/>
        <v>0</v>
      </c>
      <c r="AD187" s="408">
        <f t="shared" si="92"/>
        <v>0</v>
      </c>
      <c r="AE187" s="408">
        <f t="shared" si="93"/>
        <v>0</v>
      </c>
      <c r="AF187" s="408">
        <f t="shared" si="94"/>
        <v>0</v>
      </c>
      <c r="AG187" s="408">
        <f t="shared" si="95"/>
        <v>0</v>
      </c>
      <c r="AH187" s="408">
        <f t="shared" si="96"/>
        <v>0</v>
      </c>
      <c r="AI187" s="408">
        <f t="shared" si="97"/>
        <v>0</v>
      </c>
      <c r="AJ187" s="408">
        <f t="shared" si="98"/>
        <v>0</v>
      </c>
      <c r="AK187" s="408">
        <f t="shared" si="82"/>
        <v>0</v>
      </c>
      <c r="AL187" s="408">
        <f t="shared" si="99"/>
        <v>0</v>
      </c>
      <c r="AM187" s="408">
        <f t="shared" si="100"/>
        <v>0</v>
      </c>
      <c r="AN187" s="408">
        <f t="shared" si="101"/>
        <v>435240</v>
      </c>
      <c r="AO187" s="408">
        <f t="shared" si="102"/>
        <v>0</v>
      </c>
    </row>
    <row r="188" spans="1:41" s="408" customFormat="1" ht="15.75" x14ac:dyDescent="0.2">
      <c r="A188" s="371"/>
      <c r="B188" s="472" t="s">
        <v>254</v>
      </c>
      <c r="C188" s="395" t="s">
        <v>255</v>
      </c>
      <c r="D188" s="420" t="s">
        <v>218</v>
      </c>
      <c r="E188" s="373"/>
      <c r="F188" s="373"/>
      <c r="G188" s="373"/>
      <c r="H188" s="373"/>
      <c r="I188" s="373"/>
      <c r="J188" s="373"/>
      <c r="K188" s="373"/>
      <c r="L188" s="373"/>
      <c r="M188" s="373"/>
      <c r="N188" s="373"/>
      <c r="O188" s="373"/>
      <c r="P188" s="373"/>
      <c r="Q188" s="373"/>
      <c r="R188" s="373"/>
      <c r="S188" s="373"/>
      <c r="T188" s="373"/>
      <c r="U188" s="374">
        <f t="shared" si="69"/>
        <v>0</v>
      </c>
      <c r="V188" s="473">
        <v>180</v>
      </c>
      <c r="W188" s="374">
        <f t="shared" si="87"/>
        <v>0</v>
      </c>
      <c r="X188" s="375"/>
      <c r="Y188" s="376"/>
      <c r="Z188" s="408">
        <f t="shared" si="88"/>
        <v>0</v>
      </c>
      <c r="AA188" s="408">
        <f t="shared" si="89"/>
        <v>0</v>
      </c>
      <c r="AB188" s="408">
        <f t="shared" si="90"/>
        <v>0</v>
      </c>
      <c r="AC188" s="408">
        <f t="shared" si="91"/>
        <v>0</v>
      </c>
      <c r="AD188" s="408">
        <f t="shared" si="92"/>
        <v>0</v>
      </c>
      <c r="AE188" s="408">
        <f t="shared" si="93"/>
        <v>0</v>
      </c>
      <c r="AF188" s="408">
        <f t="shared" si="94"/>
        <v>0</v>
      </c>
      <c r="AG188" s="408">
        <f t="shared" si="95"/>
        <v>0</v>
      </c>
      <c r="AH188" s="408">
        <f t="shared" si="96"/>
        <v>0</v>
      </c>
      <c r="AI188" s="408">
        <f t="shared" si="97"/>
        <v>0</v>
      </c>
      <c r="AJ188" s="408">
        <f t="shared" si="98"/>
        <v>0</v>
      </c>
      <c r="AK188" s="408">
        <f t="shared" si="82"/>
        <v>0</v>
      </c>
      <c r="AL188" s="408">
        <f t="shared" si="99"/>
        <v>0</v>
      </c>
      <c r="AM188" s="408">
        <f t="shared" si="100"/>
        <v>0</v>
      </c>
      <c r="AN188" s="408">
        <f t="shared" si="101"/>
        <v>0</v>
      </c>
      <c r="AO188" s="408">
        <f t="shared" si="102"/>
        <v>0</v>
      </c>
    </row>
    <row r="189" spans="1:41" s="408" customFormat="1" ht="15.75" x14ac:dyDescent="0.25">
      <c r="A189" s="371"/>
      <c r="B189" s="451"/>
      <c r="C189" s="452"/>
      <c r="D189" s="452"/>
      <c r="E189" s="373"/>
      <c r="F189" s="373"/>
      <c r="G189" s="373"/>
      <c r="H189" s="373"/>
      <c r="I189" s="373"/>
      <c r="J189" s="373"/>
      <c r="K189" s="373"/>
      <c r="L189" s="373"/>
      <c r="M189" s="373"/>
      <c r="N189" s="373"/>
      <c r="O189" s="373"/>
      <c r="P189" s="373"/>
      <c r="Q189" s="373"/>
      <c r="R189" s="373"/>
      <c r="S189" s="373"/>
      <c r="T189" s="373"/>
      <c r="U189" s="374">
        <f t="shared" si="69"/>
        <v>0</v>
      </c>
      <c r="V189" s="374"/>
      <c r="W189" s="374">
        <f t="shared" si="87"/>
        <v>0</v>
      </c>
      <c r="X189" s="375"/>
      <c r="Y189" s="376"/>
      <c r="Z189" s="408">
        <f t="shared" si="88"/>
        <v>0</v>
      </c>
      <c r="AA189" s="408">
        <f t="shared" si="89"/>
        <v>0</v>
      </c>
      <c r="AB189" s="408">
        <f t="shared" si="90"/>
        <v>0</v>
      </c>
      <c r="AC189" s="408">
        <f t="shared" si="91"/>
        <v>0</v>
      </c>
      <c r="AD189" s="408">
        <f t="shared" si="92"/>
        <v>0</v>
      </c>
      <c r="AE189" s="408">
        <f t="shared" si="93"/>
        <v>0</v>
      </c>
      <c r="AF189" s="408">
        <f t="shared" si="94"/>
        <v>0</v>
      </c>
      <c r="AG189" s="408">
        <f t="shared" si="95"/>
        <v>0</v>
      </c>
      <c r="AH189" s="408">
        <f t="shared" si="96"/>
        <v>0</v>
      </c>
      <c r="AI189" s="408">
        <f t="shared" si="97"/>
        <v>0</v>
      </c>
      <c r="AJ189" s="408">
        <f t="shared" si="98"/>
        <v>0</v>
      </c>
      <c r="AK189" s="408">
        <f t="shared" si="82"/>
        <v>0</v>
      </c>
      <c r="AL189" s="408">
        <f t="shared" si="99"/>
        <v>0</v>
      </c>
      <c r="AM189" s="408">
        <f t="shared" si="100"/>
        <v>0</v>
      </c>
      <c r="AN189" s="408">
        <f t="shared" si="101"/>
        <v>0</v>
      </c>
      <c r="AO189" s="408">
        <f t="shared" si="102"/>
        <v>0</v>
      </c>
    </row>
    <row r="190" spans="1:41" s="408" customFormat="1" ht="94.5" x14ac:dyDescent="0.2">
      <c r="A190" s="371">
        <v>60</v>
      </c>
      <c r="B190" s="466">
        <v>16.690000000000001</v>
      </c>
      <c r="C190" s="449" t="s">
        <v>256</v>
      </c>
      <c r="D190" s="474" t="s">
        <v>257</v>
      </c>
      <c r="E190" s="373">
        <f>'allied infrastructre finishig w'!H6</f>
        <v>405</v>
      </c>
      <c r="F190" s="373"/>
      <c r="G190" s="373"/>
      <c r="H190" s="373"/>
      <c r="I190" s="373"/>
      <c r="J190" s="373"/>
      <c r="K190" s="373"/>
      <c r="L190" s="373"/>
      <c r="M190" s="373"/>
      <c r="N190" s="373"/>
      <c r="O190" s="373"/>
      <c r="P190" s="373"/>
      <c r="Q190" s="373"/>
      <c r="R190" s="373"/>
      <c r="S190" s="373"/>
      <c r="T190" s="373"/>
      <c r="U190" s="374">
        <f t="shared" si="69"/>
        <v>405</v>
      </c>
      <c r="V190" s="374">
        <v>8613.5499999999993</v>
      </c>
      <c r="W190" s="374">
        <f t="shared" si="87"/>
        <v>3488487.7499999995</v>
      </c>
      <c r="X190" s="375"/>
      <c r="Y190" s="376"/>
      <c r="Z190" s="408">
        <f t="shared" si="88"/>
        <v>3488487.7499999995</v>
      </c>
      <c r="AA190" s="408">
        <f t="shared" si="89"/>
        <v>0</v>
      </c>
      <c r="AB190" s="408">
        <f t="shared" si="90"/>
        <v>0</v>
      </c>
      <c r="AC190" s="408">
        <f t="shared" si="91"/>
        <v>0</v>
      </c>
      <c r="AD190" s="408">
        <f t="shared" si="92"/>
        <v>0</v>
      </c>
      <c r="AE190" s="408">
        <f t="shared" si="93"/>
        <v>0</v>
      </c>
      <c r="AF190" s="408">
        <f t="shared" si="94"/>
        <v>0</v>
      </c>
      <c r="AG190" s="408">
        <f t="shared" si="95"/>
        <v>0</v>
      </c>
      <c r="AH190" s="408">
        <f t="shared" si="96"/>
        <v>0</v>
      </c>
      <c r="AI190" s="408">
        <f t="shared" si="97"/>
        <v>0</v>
      </c>
      <c r="AJ190" s="408">
        <f t="shared" si="98"/>
        <v>0</v>
      </c>
      <c r="AK190" s="408">
        <f t="shared" si="82"/>
        <v>0</v>
      </c>
      <c r="AL190" s="408">
        <f t="shared" si="99"/>
        <v>0</v>
      </c>
      <c r="AM190" s="408">
        <f t="shared" si="100"/>
        <v>0</v>
      </c>
      <c r="AN190" s="408">
        <f t="shared" si="101"/>
        <v>0</v>
      </c>
      <c r="AO190" s="408">
        <f t="shared" si="102"/>
        <v>0</v>
      </c>
    </row>
    <row r="191" spans="1:41" s="408" customFormat="1" ht="15.75" x14ac:dyDescent="0.25">
      <c r="A191" s="371"/>
      <c r="B191" s="451"/>
      <c r="C191" s="452"/>
      <c r="D191" s="452"/>
      <c r="E191" s="373"/>
      <c r="F191" s="373"/>
      <c r="G191" s="373"/>
      <c r="H191" s="373"/>
      <c r="I191" s="373"/>
      <c r="J191" s="373"/>
      <c r="K191" s="373"/>
      <c r="L191" s="373"/>
      <c r="M191" s="373"/>
      <c r="N191" s="373"/>
      <c r="O191" s="373"/>
      <c r="P191" s="373"/>
      <c r="Q191" s="373"/>
      <c r="R191" s="373"/>
      <c r="S191" s="373"/>
      <c r="T191" s="373"/>
      <c r="U191" s="374">
        <f t="shared" si="69"/>
        <v>0</v>
      </c>
      <c r="V191" s="374"/>
      <c r="W191" s="374">
        <f t="shared" si="87"/>
        <v>0</v>
      </c>
      <c r="X191" s="375"/>
      <c r="Y191" s="376"/>
      <c r="Z191" s="408">
        <f t="shared" si="88"/>
        <v>0</v>
      </c>
      <c r="AA191" s="408">
        <f t="shared" si="89"/>
        <v>0</v>
      </c>
      <c r="AB191" s="408">
        <f t="shared" si="90"/>
        <v>0</v>
      </c>
      <c r="AC191" s="408">
        <f t="shared" si="91"/>
        <v>0</v>
      </c>
      <c r="AD191" s="408">
        <f t="shared" si="92"/>
        <v>0</v>
      </c>
      <c r="AE191" s="408">
        <f t="shared" si="93"/>
        <v>0</v>
      </c>
      <c r="AF191" s="408">
        <f t="shared" si="94"/>
        <v>0</v>
      </c>
      <c r="AG191" s="408">
        <f t="shared" si="95"/>
        <v>0</v>
      </c>
      <c r="AH191" s="408">
        <f t="shared" si="96"/>
        <v>0</v>
      </c>
      <c r="AI191" s="408">
        <f t="shared" si="97"/>
        <v>0</v>
      </c>
      <c r="AJ191" s="408">
        <f t="shared" si="98"/>
        <v>0</v>
      </c>
      <c r="AK191" s="408">
        <f t="shared" si="82"/>
        <v>0</v>
      </c>
      <c r="AL191" s="408">
        <f t="shared" si="99"/>
        <v>0</v>
      </c>
      <c r="AM191" s="408">
        <f t="shared" si="100"/>
        <v>0</v>
      </c>
      <c r="AN191" s="408">
        <f t="shared" si="101"/>
        <v>0</v>
      </c>
      <c r="AO191" s="408">
        <f t="shared" si="102"/>
        <v>0</v>
      </c>
    </row>
    <row r="192" spans="1:41" s="408" customFormat="1" ht="47.25" x14ac:dyDescent="0.2">
      <c r="A192" s="371">
        <v>61</v>
      </c>
      <c r="B192" s="466">
        <v>16.48</v>
      </c>
      <c r="C192" s="456" t="s">
        <v>258</v>
      </c>
      <c r="D192" s="474"/>
      <c r="E192" s="373"/>
      <c r="F192" s="373"/>
      <c r="G192" s="373"/>
      <c r="H192" s="373"/>
      <c r="I192" s="373"/>
      <c r="J192" s="373"/>
      <c r="K192" s="373"/>
      <c r="L192" s="373"/>
      <c r="M192" s="373"/>
      <c r="N192" s="373"/>
      <c r="O192" s="373"/>
      <c r="P192" s="373"/>
      <c r="Q192" s="373"/>
      <c r="R192" s="373"/>
      <c r="S192" s="373"/>
      <c r="T192" s="373"/>
      <c r="U192" s="374">
        <f t="shared" si="69"/>
        <v>0</v>
      </c>
      <c r="V192" s="374"/>
      <c r="W192" s="374">
        <f t="shared" si="87"/>
        <v>0</v>
      </c>
      <c r="X192" s="375"/>
      <c r="Y192" s="376"/>
      <c r="Z192" s="408">
        <f t="shared" si="88"/>
        <v>0</v>
      </c>
      <c r="AA192" s="408">
        <f t="shared" si="89"/>
        <v>0</v>
      </c>
      <c r="AB192" s="408">
        <f t="shared" si="90"/>
        <v>0</v>
      </c>
      <c r="AC192" s="408">
        <f t="shared" si="91"/>
        <v>0</v>
      </c>
      <c r="AD192" s="408">
        <f t="shared" si="92"/>
        <v>0</v>
      </c>
      <c r="AE192" s="408">
        <f t="shared" si="93"/>
        <v>0</v>
      </c>
      <c r="AF192" s="408">
        <f t="shared" si="94"/>
        <v>0</v>
      </c>
      <c r="AG192" s="408">
        <f t="shared" si="95"/>
        <v>0</v>
      </c>
      <c r="AH192" s="408">
        <f t="shared" si="96"/>
        <v>0</v>
      </c>
      <c r="AI192" s="408">
        <f t="shared" si="97"/>
        <v>0</v>
      </c>
      <c r="AJ192" s="408">
        <f t="shared" si="98"/>
        <v>0</v>
      </c>
      <c r="AK192" s="408">
        <f t="shared" si="82"/>
        <v>0</v>
      </c>
      <c r="AL192" s="408">
        <f t="shared" si="99"/>
        <v>0</v>
      </c>
      <c r="AM192" s="408">
        <f t="shared" si="100"/>
        <v>0</v>
      </c>
      <c r="AN192" s="408">
        <f t="shared" si="101"/>
        <v>0</v>
      </c>
      <c r="AO192" s="408">
        <f t="shared" si="102"/>
        <v>0</v>
      </c>
    </row>
    <row r="193" spans="1:41" s="408" customFormat="1" ht="15.75" x14ac:dyDescent="0.2">
      <c r="A193" s="371"/>
      <c r="B193" s="466" t="s">
        <v>259</v>
      </c>
      <c r="C193" s="456" t="s">
        <v>260</v>
      </c>
      <c r="D193" s="475" t="s">
        <v>73</v>
      </c>
      <c r="E193" s="373">
        <f>'allied infrastructre finishig w'!H60</f>
        <v>5400</v>
      </c>
      <c r="F193" s="373"/>
      <c r="G193" s="373"/>
      <c r="H193" s="373"/>
      <c r="I193" s="373"/>
      <c r="J193" s="373"/>
      <c r="K193" s="373"/>
      <c r="L193" s="373"/>
      <c r="M193" s="373"/>
      <c r="N193" s="373"/>
      <c r="O193" s="373"/>
      <c r="P193" s="373"/>
      <c r="Q193" s="373"/>
      <c r="R193" s="373"/>
      <c r="S193" s="373"/>
      <c r="T193" s="373"/>
      <c r="U193" s="374">
        <f t="shared" si="69"/>
        <v>5400</v>
      </c>
      <c r="V193" s="374">
        <v>239.95</v>
      </c>
      <c r="W193" s="374">
        <f t="shared" si="87"/>
        <v>1295730</v>
      </c>
      <c r="X193" s="375"/>
      <c r="Y193" s="376"/>
      <c r="Z193" s="408">
        <f t="shared" si="88"/>
        <v>1295730</v>
      </c>
      <c r="AA193" s="408">
        <f t="shared" si="89"/>
        <v>0</v>
      </c>
      <c r="AB193" s="408">
        <f t="shared" si="90"/>
        <v>0</v>
      </c>
      <c r="AC193" s="408">
        <f t="shared" si="91"/>
        <v>0</v>
      </c>
      <c r="AD193" s="408">
        <f t="shared" si="92"/>
        <v>0</v>
      </c>
      <c r="AE193" s="408">
        <f t="shared" si="93"/>
        <v>0</v>
      </c>
      <c r="AF193" s="408">
        <f t="shared" si="94"/>
        <v>0</v>
      </c>
      <c r="AG193" s="408">
        <f t="shared" si="95"/>
        <v>0</v>
      </c>
      <c r="AH193" s="408">
        <f t="shared" si="96"/>
        <v>0</v>
      </c>
      <c r="AI193" s="408">
        <f t="shared" si="97"/>
        <v>0</v>
      </c>
      <c r="AJ193" s="408">
        <f t="shared" si="98"/>
        <v>0</v>
      </c>
      <c r="AK193" s="408">
        <f t="shared" si="82"/>
        <v>0</v>
      </c>
      <c r="AL193" s="408">
        <f t="shared" si="99"/>
        <v>0</v>
      </c>
      <c r="AM193" s="408">
        <f t="shared" si="100"/>
        <v>0</v>
      </c>
      <c r="AN193" s="408">
        <f t="shared" si="101"/>
        <v>0</v>
      </c>
      <c r="AO193" s="408">
        <f t="shared" si="102"/>
        <v>0</v>
      </c>
    </row>
    <row r="194" spans="1:41" s="408" customFormat="1" ht="15.75" x14ac:dyDescent="0.25">
      <c r="A194" s="371"/>
      <c r="B194" s="451"/>
      <c r="C194" s="452"/>
      <c r="D194" s="452"/>
      <c r="E194" s="373"/>
      <c r="F194" s="373"/>
      <c r="G194" s="373"/>
      <c r="H194" s="373"/>
      <c r="I194" s="373"/>
      <c r="J194" s="373"/>
      <c r="K194" s="373"/>
      <c r="L194" s="373"/>
      <c r="M194" s="373"/>
      <c r="N194" s="373"/>
      <c r="O194" s="373"/>
      <c r="P194" s="373"/>
      <c r="Q194" s="373"/>
      <c r="R194" s="373"/>
      <c r="S194" s="373"/>
      <c r="T194" s="373"/>
      <c r="U194" s="374">
        <f t="shared" si="69"/>
        <v>0</v>
      </c>
      <c r="V194" s="374"/>
      <c r="W194" s="374">
        <f t="shared" si="87"/>
        <v>0</v>
      </c>
      <c r="X194" s="375"/>
      <c r="Y194" s="376"/>
      <c r="Z194" s="408">
        <f t="shared" si="88"/>
        <v>0</v>
      </c>
      <c r="AA194" s="408">
        <f t="shared" si="89"/>
        <v>0</v>
      </c>
      <c r="AB194" s="408">
        <f t="shared" si="90"/>
        <v>0</v>
      </c>
      <c r="AC194" s="408">
        <f t="shared" si="91"/>
        <v>0</v>
      </c>
      <c r="AD194" s="408">
        <f t="shared" si="92"/>
        <v>0</v>
      </c>
      <c r="AE194" s="408">
        <f t="shared" si="93"/>
        <v>0</v>
      </c>
      <c r="AF194" s="408">
        <f t="shared" si="94"/>
        <v>0</v>
      </c>
      <c r="AG194" s="408">
        <f t="shared" si="95"/>
        <v>0</v>
      </c>
      <c r="AH194" s="408">
        <f t="shared" si="96"/>
        <v>0</v>
      </c>
      <c r="AI194" s="408">
        <f t="shared" si="97"/>
        <v>0</v>
      </c>
      <c r="AJ194" s="408">
        <f t="shared" si="98"/>
        <v>0</v>
      </c>
      <c r="AK194" s="408">
        <f t="shared" si="82"/>
        <v>0</v>
      </c>
      <c r="AL194" s="408">
        <f t="shared" si="99"/>
        <v>0</v>
      </c>
      <c r="AM194" s="408">
        <f t="shared" si="100"/>
        <v>0</v>
      </c>
      <c r="AN194" s="408">
        <f t="shared" si="101"/>
        <v>0</v>
      </c>
      <c r="AO194" s="408">
        <f t="shared" si="102"/>
        <v>0</v>
      </c>
    </row>
    <row r="195" spans="1:41" s="408" customFormat="1" ht="220.5" x14ac:dyDescent="0.2">
      <c r="A195" s="371">
        <v>62</v>
      </c>
      <c r="B195" s="466">
        <v>16.59</v>
      </c>
      <c r="C195" s="456" t="s">
        <v>261</v>
      </c>
      <c r="D195" s="476"/>
      <c r="E195" s="373"/>
      <c r="F195" s="373"/>
      <c r="G195" s="373"/>
      <c r="H195" s="373"/>
      <c r="I195" s="373"/>
      <c r="J195" s="373"/>
      <c r="K195" s="373"/>
      <c r="L195" s="373"/>
      <c r="M195" s="373"/>
      <c r="N195" s="373"/>
      <c r="O195" s="373"/>
      <c r="P195" s="373"/>
      <c r="Q195" s="373"/>
      <c r="R195" s="373"/>
      <c r="S195" s="373"/>
      <c r="T195" s="373"/>
      <c r="U195" s="374">
        <f t="shared" si="69"/>
        <v>0</v>
      </c>
      <c r="V195" s="374"/>
      <c r="W195" s="374">
        <f t="shared" si="87"/>
        <v>0</v>
      </c>
      <c r="X195" s="375"/>
      <c r="Y195" s="376"/>
      <c r="Z195" s="408">
        <f t="shared" si="88"/>
        <v>0</v>
      </c>
      <c r="AA195" s="408">
        <f t="shared" si="89"/>
        <v>0</v>
      </c>
      <c r="AB195" s="408">
        <f t="shared" si="90"/>
        <v>0</v>
      </c>
      <c r="AC195" s="408">
        <f t="shared" si="91"/>
        <v>0</v>
      </c>
      <c r="AD195" s="408">
        <f t="shared" si="92"/>
        <v>0</v>
      </c>
      <c r="AE195" s="408">
        <f t="shared" si="93"/>
        <v>0</v>
      </c>
      <c r="AF195" s="408">
        <f t="shared" si="94"/>
        <v>0</v>
      </c>
      <c r="AG195" s="408">
        <f t="shared" si="95"/>
        <v>0</v>
      </c>
      <c r="AH195" s="408">
        <f t="shared" si="96"/>
        <v>0</v>
      </c>
      <c r="AI195" s="408">
        <f t="shared" si="97"/>
        <v>0</v>
      </c>
      <c r="AJ195" s="408">
        <f t="shared" si="98"/>
        <v>0</v>
      </c>
      <c r="AK195" s="408">
        <f t="shared" si="82"/>
        <v>0</v>
      </c>
      <c r="AL195" s="408">
        <f t="shared" si="99"/>
        <v>0</v>
      </c>
      <c r="AM195" s="408">
        <f t="shared" si="100"/>
        <v>0</v>
      </c>
      <c r="AN195" s="408">
        <f t="shared" si="101"/>
        <v>0</v>
      </c>
      <c r="AO195" s="408">
        <f t="shared" si="102"/>
        <v>0</v>
      </c>
    </row>
    <row r="196" spans="1:41" s="408" customFormat="1" ht="15.75" x14ac:dyDescent="0.2">
      <c r="A196" s="371"/>
      <c r="B196" s="466" t="s">
        <v>262</v>
      </c>
      <c r="C196" s="456" t="s">
        <v>263</v>
      </c>
      <c r="D196" s="477" t="s">
        <v>264</v>
      </c>
      <c r="E196" s="373">
        <f>'allied infrastructre finishig w'!H13</f>
        <v>20</v>
      </c>
      <c r="F196" s="373"/>
      <c r="G196" s="373"/>
      <c r="H196" s="373"/>
      <c r="I196" s="373"/>
      <c r="J196" s="373"/>
      <c r="K196" s="373"/>
      <c r="L196" s="373"/>
      <c r="M196" s="373"/>
      <c r="N196" s="373"/>
      <c r="O196" s="373"/>
      <c r="P196" s="373"/>
      <c r="Q196" s="373"/>
      <c r="R196" s="373"/>
      <c r="S196" s="373"/>
      <c r="T196" s="373"/>
      <c r="U196" s="374">
        <f t="shared" si="69"/>
        <v>20</v>
      </c>
      <c r="V196" s="374">
        <v>5745.95</v>
      </c>
      <c r="W196" s="374">
        <f t="shared" si="87"/>
        <v>114919</v>
      </c>
      <c r="X196" s="375"/>
      <c r="Y196" s="376"/>
      <c r="Z196" s="408">
        <f t="shared" si="88"/>
        <v>114919</v>
      </c>
      <c r="AA196" s="408">
        <f t="shared" si="89"/>
        <v>0</v>
      </c>
      <c r="AB196" s="408">
        <f t="shared" si="90"/>
        <v>0</v>
      </c>
      <c r="AC196" s="408">
        <f t="shared" si="91"/>
        <v>0</v>
      </c>
      <c r="AD196" s="408">
        <f t="shared" si="92"/>
        <v>0</v>
      </c>
      <c r="AE196" s="408">
        <f t="shared" si="93"/>
        <v>0</v>
      </c>
      <c r="AF196" s="408">
        <f t="shared" si="94"/>
        <v>0</v>
      </c>
      <c r="AG196" s="408">
        <f t="shared" si="95"/>
        <v>0</v>
      </c>
      <c r="AH196" s="408">
        <f t="shared" si="96"/>
        <v>0</v>
      </c>
      <c r="AI196" s="408">
        <f t="shared" si="97"/>
        <v>0</v>
      </c>
      <c r="AJ196" s="408">
        <f t="shared" si="98"/>
        <v>0</v>
      </c>
      <c r="AK196" s="408">
        <f t="shared" si="82"/>
        <v>0</v>
      </c>
      <c r="AL196" s="408">
        <f t="shared" si="99"/>
        <v>0</v>
      </c>
      <c r="AM196" s="408">
        <f t="shared" si="100"/>
        <v>0</v>
      </c>
      <c r="AN196" s="408">
        <f t="shared" si="101"/>
        <v>0</v>
      </c>
      <c r="AO196" s="408">
        <f t="shared" si="102"/>
        <v>0</v>
      </c>
    </row>
    <row r="197" spans="1:41" s="408" customFormat="1" ht="31.5" x14ac:dyDescent="0.2">
      <c r="A197" s="371"/>
      <c r="B197" s="466" t="s">
        <v>265</v>
      </c>
      <c r="C197" s="456" t="s">
        <v>266</v>
      </c>
      <c r="D197" s="477" t="s">
        <v>264</v>
      </c>
      <c r="E197" s="373">
        <f>'allied infrastructre finishig w'!H14</f>
        <v>20</v>
      </c>
      <c r="F197" s="373"/>
      <c r="G197" s="373"/>
      <c r="H197" s="373"/>
      <c r="I197" s="373"/>
      <c r="J197" s="373"/>
      <c r="K197" s="373"/>
      <c r="L197" s="373"/>
      <c r="M197" s="373"/>
      <c r="N197" s="373"/>
      <c r="O197" s="373"/>
      <c r="P197" s="373"/>
      <c r="Q197" s="373"/>
      <c r="R197" s="373"/>
      <c r="S197" s="373"/>
      <c r="T197" s="373"/>
      <c r="U197" s="374">
        <f t="shared" si="69"/>
        <v>20</v>
      </c>
      <c r="V197" s="374">
        <v>4209.2</v>
      </c>
      <c r="W197" s="374">
        <f t="shared" si="87"/>
        <v>84184</v>
      </c>
      <c r="X197" s="375"/>
      <c r="Y197" s="376"/>
      <c r="Z197" s="408">
        <f t="shared" si="88"/>
        <v>84184</v>
      </c>
      <c r="AA197" s="408">
        <f t="shared" si="89"/>
        <v>0</v>
      </c>
      <c r="AB197" s="408">
        <f t="shared" si="90"/>
        <v>0</v>
      </c>
      <c r="AC197" s="408">
        <f t="shared" si="91"/>
        <v>0</v>
      </c>
      <c r="AD197" s="408">
        <f t="shared" si="92"/>
        <v>0</v>
      </c>
      <c r="AE197" s="408">
        <f t="shared" si="93"/>
        <v>0</v>
      </c>
      <c r="AF197" s="408">
        <f t="shared" si="94"/>
        <v>0</v>
      </c>
      <c r="AG197" s="408">
        <f t="shared" si="95"/>
        <v>0</v>
      </c>
      <c r="AH197" s="408">
        <f t="shared" si="96"/>
        <v>0</v>
      </c>
      <c r="AI197" s="408">
        <f t="shared" si="97"/>
        <v>0</v>
      </c>
      <c r="AJ197" s="408">
        <f t="shared" si="98"/>
        <v>0</v>
      </c>
      <c r="AK197" s="408">
        <f t="shared" si="82"/>
        <v>0</v>
      </c>
      <c r="AL197" s="408">
        <f t="shared" si="99"/>
        <v>0</v>
      </c>
      <c r="AM197" s="408">
        <f t="shared" si="100"/>
        <v>0</v>
      </c>
      <c r="AN197" s="408">
        <f t="shared" si="101"/>
        <v>0</v>
      </c>
      <c r="AO197" s="408">
        <f t="shared" si="102"/>
        <v>0</v>
      </c>
    </row>
    <row r="198" spans="1:41" s="408" customFormat="1" ht="15.75" x14ac:dyDescent="0.25">
      <c r="A198" s="371"/>
      <c r="B198" s="451"/>
      <c r="C198" s="452"/>
      <c r="D198" s="452"/>
      <c r="E198" s="373"/>
      <c r="F198" s="373"/>
      <c r="G198" s="373"/>
      <c r="H198" s="373"/>
      <c r="I198" s="373"/>
      <c r="J198" s="373"/>
      <c r="K198" s="373"/>
      <c r="L198" s="373"/>
      <c r="M198" s="373"/>
      <c r="N198" s="373"/>
      <c r="O198" s="373"/>
      <c r="P198" s="373"/>
      <c r="Q198" s="373"/>
      <c r="R198" s="373"/>
      <c r="S198" s="373"/>
      <c r="T198" s="373"/>
      <c r="U198" s="374">
        <f t="shared" si="69"/>
        <v>0</v>
      </c>
      <c r="V198" s="374"/>
      <c r="W198" s="374">
        <f t="shared" si="87"/>
        <v>0</v>
      </c>
      <c r="X198" s="375"/>
      <c r="Y198" s="376"/>
      <c r="Z198" s="408">
        <f t="shared" si="88"/>
        <v>0</v>
      </c>
      <c r="AA198" s="408">
        <f t="shared" si="89"/>
        <v>0</v>
      </c>
      <c r="AB198" s="408">
        <f t="shared" si="90"/>
        <v>0</v>
      </c>
      <c r="AC198" s="408">
        <f t="shared" si="91"/>
        <v>0</v>
      </c>
      <c r="AD198" s="408">
        <f t="shared" si="92"/>
        <v>0</v>
      </c>
      <c r="AE198" s="408">
        <f t="shared" si="93"/>
        <v>0</v>
      </c>
      <c r="AF198" s="408">
        <f t="shared" si="94"/>
        <v>0</v>
      </c>
      <c r="AG198" s="408">
        <f t="shared" si="95"/>
        <v>0</v>
      </c>
      <c r="AH198" s="408">
        <f t="shared" si="96"/>
        <v>0</v>
      </c>
      <c r="AI198" s="408">
        <f t="shared" si="97"/>
        <v>0</v>
      </c>
      <c r="AJ198" s="408">
        <f t="shared" si="98"/>
        <v>0</v>
      </c>
      <c r="AK198" s="408">
        <f t="shared" si="82"/>
        <v>0</v>
      </c>
      <c r="AL198" s="408">
        <f t="shared" si="99"/>
        <v>0</v>
      </c>
      <c r="AM198" s="408">
        <f t="shared" si="100"/>
        <v>0</v>
      </c>
      <c r="AN198" s="408">
        <f t="shared" si="101"/>
        <v>0</v>
      </c>
      <c r="AO198" s="408">
        <f t="shared" si="102"/>
        <v>0</v>
      </c>
    </row>
    <row r="199" spans="1:41" s="408" customFormat="1" ht="47.25" x14ac:dyDescent="0.25">
      <c r="A199" s="371">
        <v>63</v>
      </c>
      <c r="B199" s="478">
        <v>10.26</v>
      </c>
      <c r="C199" s="456" t="s">
        <v>468</v>
      </c>
      <c r="D199" s="479"/>
      <c r="E199" s="373"/>
      <c r="F199" s="373"/>
      <c r="G199" s="373"/>
      <c r="H199" s="373"/>
      <c r="I199" s="373"/>
      <c r="J199" s="373"/>
      <c r="K199" s="373"/>
      <c r="L199" s="373"/>
      <c r="M199" s="373"/>
      <c r="N199" s="373"/>
      <c r="O199" s="373"/>
      <c r="P199" s="373"/>
      <c r="Q199" s="373"/>
      <c r="R199" s="373"/>
      <c r="S199" s="373"/>
      <c r="T199" s="373"/>
      <c r="U199" s="374">
        <f t="shared" si="69"/>
        <v>0</v>
      </c>
      <c r="V199" s="374"/>
      <c r="W199" s="374">
        <f t="shared" si="87"/>
        <v>0</v>
      </c>
      <c r="X199" s="375"/>
      <c r="Y199" s="376"/>
      <c r="Z199" s="408">
        <f t="shared" si="88"/>
        <v>0</v>
      </c>
      <c r="AA199" s="408">
        <f t="shared" si="89"/>
        <v>0</v>
      </c>
      <c r="AB199" s="408">
        <f t="shared" si="90"/>
        <v>0</v>
      </c>
      <c r="AC199" s="408">
        <f t="shared" si="91"/>
        <v>0</v>
      </c>
      <c r="AD199" s="408">
        <f t="shared" si="92"/>
        <v>0</v>
      </c>
      <c r="AE199" s="408">
        <f t="shared" si="93"/>
        <v>0</v>
      </c>
      <c r="AF199" s="408">
        <f t="shared" si="94"/>
        <v>0</v>
      </c>
      <c r="AG199" s="408">
        <f t="shared" si="95"/>
        <v>0</v>
      </c>
      <c r="AH199" s="408">
        <f t="shared" si="96"/>
        <v>0</v>
      </c>
      <c r="AI199" s="408">
        <f t="shared" si="97"/>
        <v>0</v>
      </c>
      <c r="AJ199" s="408">
        <f t="shared" si="98"/>
        <v>0</v>
      </c>
      <c r="AK199" s="408">
        <f t="shared" si="82"/>
        <v>0</v>
      </c>
      <c r="AL199" s="408">
        <f t="shared" si="99"/>
        <v>0</v>
      </c>
      <c r="AM199" s="408">
        <f t="shared" si="100"/>
        <v>0</v>
      </c>
      <c r="AN199" s="408">
        <f t="shared" si="101"/>
        <v>0</v>
      </c>
      <c r="AO199" s="408">
        <f t="shared" si="102"/>
        <v>0</v>
      </c>
    </row>
    <row r="200" spans="1:41" s="408" customFormat="1" ht="15.75" x14ac:dyDescent="0.2">
      <c r="A200" s="371"/>
      <c r="B200" s="478" t="s">
        <v>268</v>
      </c>
      <c r="C200" s="456" t="s">
        <v>269</v>
      </c>
      <c r="D200" s="480" t="s">
        <v>112</v>
      </c>
      <c r="E200" s="373"/>
      <c r="F200" s="373"/>
      <c r="G200" s="373"/>
      <c r="H200" s="373"/>
      <c r="I200" s="373"/>
      <c r="J200" s="373"/>
      <c r="K200" s="373"/>
      <c r="L200" s="373"/>
      <c r="M200" s="373"/>
      <c r="N200" s="373"/>
      <c r="O200" s="373"/>
      <c r="P200" s="373"/>
      <c r="Q200" s="373"/>
      <c r="R200" s="373"/>
      <c r="S200" s="373"/>
      <c r="T200" s="373"/>
      <c r="U200" s="374">
        <f t="shared" si="69"/>
        <v>0</v>
      </c>
      <c r="V200" s="374">
        <v>157.15</v>
      </c>
      <c r="W200" s="374">
        <f t="shared" si="87"/>
        <v>0</v>
      </c>
      <c r="X200" s="375"/>
      <c r="Y200" s="376"/>
      <c r="Z200" s="408">
        <f t="shared" si="88"/>
        <v>0</v>
      </c>
      <c r="AA200" s="408">
        <f t="shared" si="89"/>
        <v>0</v>
      </c>
      <c r="AB200" s="408">
        <f t="shared" si="90"/>
        <v>0</v>
      </c>
      <c r="AC200" s="408">
        <f t="shared" si="91"/>
        <v>0</v>
      </c>
      <c r="AD200" s="408">
        <f t="shared" si="92"/>
        <v>0</v>
      </c>
      <c r="AE200" s="408">
        <f t="shared" si="93"/>
        <v>0</v>
      </c>
      <c r="AF200" s="408">
        <f t="shared" si="94"/>
        <v>0</v>
      </c>
      <c r="AG200" s="408">
        <f t="shared" si="95"/>
        <v>0</v>
      </c>
      <c r="AH200" s="408">
        <f t="shared" si="96"/>
        <v>0</v>
      </c>
      <c r="AI200" s="408">
        <f t="shared" si="97"/>
        <v>0</v>
      </c>
      <c r="AJ200" s="408">
        <f t="shared" si="98"/>
        <v>0</v>
      </c>
      <c r="AK200" s="408">
        <f t="shared" si="82"/>
        <v>0</v>
      </c>
      <c r="AL200" s="408">
        <f t="shared" si="99"/>
        <v>0</v>
      </c>
      <c r="AM200" s="408">
        <f t="shared" si="100"/>
        <v>0</v>
      </c>
      <c r="AN200" s="408">
        <f t="shared" si="101"/>
        <v>0</v>
      </c>
      <c r="AO200" s="408">
        <f t="shared" si="102"/>
        <v>0</v>
      </c>
    </row>
    <row r="201" spans="1:41" s="408" customFormat="1" ht="15.75" x14ac:dyDescent="0.25">
      <c r="A201" s="371"/>
      <c r="B201" s="451"/>
      <c r="C201" s="452"/>
      <c r="D201" s="452"/>
      <c r="E201" s="373"/>
      <c r="F201" s="373"/>
      <c r="G201" s="373"/>
      <c r="H201" s="373"/>
      <c r="I201" s="373"/>
      <c r="J201" s="373"/>
      <c r="K201" s="373"/>
      <c r="L201" s="373"/>
      <c r="M201" s="373"/>
      <c r="N201" s="373"/>
      <c r="O201" s="373"/>
      <c r="P201" s="373"/>
      <c r="Q201" s="373"/>
      <c r="R201" s="373"/>
      <c r="S201" s="373"/>
      <c r="T201" s="373"/>
      <c r="U201" s="374">
        <f t="shared" si="69"/>
        <v>0</v>
      </c>
      <c r="V201" s="374"/>
      <c r="W201" s="374">
        <f t="shared" si="87"/>
        <v>0</v>
      </c>
      <c r="X201" s="375"/>
      <c r="Y201" s="376"/>
      <c r="Z201" s="408">
        <f t="shared" si="88"/>
        <v>0</v>
      </c>
      <c r="AA201" s="408">
        <f t="shared" si="89"/>
        <v>0</v>
      </c>
      <c r="AB201" s="408">
        <f t="shared" si="90"/>
        <v>0</v>
      </c>
      <c r="AC201" s="408">
        <f t="shared" si="91"/>
        <v>0</v>
      </c>
      <c r="AD201" s="408">
        <f t="shared" si="92"/>
        <v>0</v>
      </c>
      <c r="AE201" s="408">
        <f t="shared" si="93"/>
        <v>0</v>
      </c>
      <c r="AF201" s="408">
        <f t="shared" si="94"/>
        <v>0</v>
      </c>
      <c r="AG201" s="408">
        <f t="shared" si="95"/>
        <v>0</v>
      </c>
      <c r="AH201" s="408">
        <f t="shared" si="96"/>
        <v>0</v>
      </c>
      <c r="AI201" s="408">
        <f t="shared" si="97"/>
        <v>0</v>
      </c>
      <c r="AJ201" s="408">
        <f t="shared" si="98"/>
        <v>0</v>
      </c>
      <c r="AK201" s="408">
        <f t="shared" si="82"/>
        <v>0</v>
      </c>
      <c r="AL201" s="408">
        <f t="shared" si="99"/>
        <v>0</v>
      </c>
      <c r="AM201" s="408">
        <f t="shared" si="100"/>
        <v>0</v>
      </c>
      <c r="AN201" s="408">
        <f t="shared" si="101"/>
        <v>0</v>
      </c>
      <c r="AO201" s="408">
        <f t="shared" si="102"/>
        <v>0</v>
      </c>
    </row>
    <row r="202" spans="1:41" s="408" customFormat="1" ht="31.5" x14ac:dyDescent="0.2">
      <c r="A202" s="371">
        <v>64</v>
      </c>
      <c r="B202" s="481" t="s">
        <v>270</v>
      </c>
      <c r="C202" s="449" t="s">
        <v>271</v>
      </c>
      <c r="D202" s="450"/>
      <c r="E202" s="373"/>
      <c r="F202" s="373"/>
      <c r="G202" s="373"/>
      <c r="H202" s="373"/>
      <c r="I202" s="373"/>
      <c r="J202" s="373"/>
      <c r="K202" s="373"/>
      <c r="L202" s="373"/>
      <c r="M202" s="373"/>
      <c r="N202" s="373"/>
      <c r="O202" s="373"/>
      <c r="P202" s="373"/>
      <c r="Q202" s="373"/>
      <c r="R202" s="373"/>
      <c r="S202" s="373"/>
      <c r="T202" s="373"/>
      <c r="U202" s="374">
        <f t="shared" si="69"/>
        <v>0</v>
      </c>
      <c r="V202" s="374"/>
      <c r="W202" s="374">
        <f t="shared" si="87"/>
        <v>0</v>
      </c>
      <c r="X202" s="375"/>
      <c r="Y202" s="376"/>
      <c r="Z202" s="408">
        <f t="shared" si="88"/>
        <v>0</v>
      </c>
      <c r="AA202" s="408">
        <f t="shared" si="89"/>
        <v>0</v>
      </c>
      <c r="AB202" s="408">
        <f t="shared" si="90"/>
        <v>0</v>
      </c>
      <c r="AC202" s="408">
        <f t="shared" si="91"/>
        <v>0</v>
      </c>
      <c r="AD202" s="408">
        <f t="shared" si="92"/>
        <v>0</v>
      </c>
      <c r="AE202" s="408">
        <f t="shared" si="93"/>
        <v>0</v>
      </c>
      <c r="AF202" s="408">
        <f t="shared" si="94"/>
        <v>0</v>
      </c>
      <c r="AG202" s="408">
        <f t="shared" si="95"/>
        <v>0</v>
      </c>
      <c r="AH202" s="408">
        <f t="shared" si="96"/>
        <v>0</v>
      </c>
      <c r="AI202" s="408">
        <f t="shared" si="97"/>
        <v>0</v>
      </c>
      <c r="AJ202" s="408">
        <f t="shared" si="98"/>
        <v>0</v>
      </c>
      <c r="AK202" s="408">
        <f t="shared" si="82"/>
        <v>0</v>
      </c>
      <c r="AL202" s="408">
        <f t="shared" si="99"/>
        <v>0</v>
      </c>
      <c r="AM202" s="408">
        <f t="shared" si="100"/>
        <v>0</v>
      </c>
      <c r="AN202" s="408">
        <f t="shared" si="101"/>
        <v>0</v>
      </c>
      <c r="AO202" s="408">
        <f t="shared" si="102"/>
        <v>0</v>
      </c>
    </row>
    <row r="203" spans="1:41" s="408" customFormat="1" ht="15.75" x14ac:dyDescent="0.2">
      <c r="A203" s="371"/>
      <c r="B203" s="482" t="s">
        <v>272</v>
      </c>
      <c r="C203" s="449" t="s">
        <v>273</v>
      </c>
      <c r="D203" s="450" t="s">
        <v>180</v>
      </c>
      <c r="E203" s="373">
        <f>'allied infrastructre finishig w'!H28</f>
        <v>2600</v>
      </c>
      <c r="F203" s="373"/>
      <c r="G203" s="373"/>
      <c r="H203" s="373"/>
      <c r="I203" s="373"/>
      <c r="J203" s="373"/>
      <c r="K203" s="373"/>
      <c r="L203" s="373"/>
      <c r="M203" s="373"/>
      <c r="N203" s="373"/>
      <c r="O203" s="373"/>
      <c r="P203" s="373"/>
      <c r="Q203" s="373"/>
      <c r="R203" s="373"/>
      <c r="S203" s="373"/>
      <c r="T203" s="373"/>
      <c r="U203" s="374">
        <f t="shared" si="69"/>
        <v>2600</v>
      </c>
      <c r="V203" s="374">
        <v>145</v>
      </c>
      <c r="W203" s="374">
        <f t="shared" si="87"/>
        <v>377000</v>
      </c>
      <c r="X203" s="375"/>
      <c r="Y203" s="376"/>
      <c r="Z203" s="408">
        <f t="shared" si="88"/>
        <v>377000</v>
      </c>
      <c r="AA203" s="408">
        <f t="shared" si="89"/>
        <v>0</v>
      </c>
      <c r="AB203" s="408">
        <f t="shared" si="90"/>
        <v>0</v>
      </c>
      <c r="AC203" s="408">
        <f t="shared" si="91"/>
        <v>0</v>
      </c>
      <c r="AD203" s="408">
        <f t="shared" si="92"/>
        <v>0</v>
      </c>
      <c r="AE203" s="408">
        <f t="shared" si="93"/>
        <v>0</v>
      </c>
      <c r="AF203" s="408">
        <f t="shared" si="94"/>
        <v>0</v>
      </c>
      <c r="AG203" s="408">
        <f t="shared" si="95"/>
        <v>0</v>
      </c>
      <c r="AH203" s="408">
        <f t="shared" si="96"/>
        <v>0</v>
      </c>
      <c r="AI203" s="408">
        <f t="shared" si="97"/>
        <v>0</v>
      </c>
      <c r="AJ203" s="408">
        <f t="shared" si="98"/>
        <v>0</v>
      </c>
      <c r="AK203" s="408">
        <f t="shared" si="82"/>
        <v>0</v>
      </c>
      <c r="AL203" s="408">
        <f t="shared" si="99"/>
        <v>0</v>
      </c>
      <c r="AM203" s="408">
        <f t="shared" si="100"/>
        <v>0</v>
      </c>
      <c r="AN203" s="408">
        <f t="shared" si="101"/>
        <v>0</v>
      </c>
      <c r="AO203" s="408">
        <f t="shared" si="102"/>
        <v>0</v>
      </c>
    </row>
    <row r="204" spans="1:41" s="408" customFormat="1" ht="15.75" x14ac:dyDescent="0.25">
      <c r="A204" s="371"/>
      <c r="B204" s="451"/>
      <c r="C204" s="452"/>
      <c r="D204" s="452"/>
      <c r="E204" s="373"/>
      <c r="F204" s="373"/>
      <c r="G204" s="373"/>
      <c r="H204" s="373"/>
      <c r="I204" s="373"/>
      <c r="J204" s="373"/>
      <c r="K204" s="373"/>
      <c r="L204" s="373"/>
      <c r="M204" s="373"/>
      <c r="N204" s="373"/>
      <c r="O204" s="373"/>
      <c r="P204" s="373"/>
      <c r="Q204" s="373"/>
      <c r="R204" s="373"/>
      <c r="S204" s="373"/>
      <c r="T204" s="373"/>
      <c r="U204" s="374">
        <f t="shared" si="69"/>
        <v>0</v>
      </c>
      <c r="V204" s="374"/>
      <c r="W204" s="374">
        <f t="shared" si="87"/>
        <v>0</v>
      </c>
      <c r="X204" s="375"/>
      <c r="Y204" s="376"/>
      <c r="Z204" s="408">
        <f t="shared" si="88"/>
        <v>0</v>
      </c>
      <c r="AA204" s="408">
        <f t="shared" si="89"/>
        <v>0</v>
      </c>
      <c r="AB204" s="408">
        <f t="shared" si="90"/>
        <v>0</v>
      </c>
      <c r="AC204" s="408">
        <f t="shared" si="91"/>
        <v>0</v>
      </c>
      <c r="AD204" s="408">
        <f t="shared" si="92"/>
        <v>0</v>
      </c>
      <c r="AE204" s="408">
        <f t="shared" si="93"/>
        <v>0</v>
      </c>
      <c r="AF204" s="408">
        <f t="shared" si="94"/>
        <v>0</v>
      </c>
      <c r="AG204" s="408">
        <f t="shared" si="95"/>
        <v>0</v>
      </c>
      <c r="AH204" s="408">
        <f t="shared" si="96"/>
        <v>0</v>
      </c>
      <c r="AI204" s="408">
        <f t="shared" si="97"/>
        <v>0</v>
      </c>
      <c r="AJ204" s="408">
        <f t="shared" si="98"/>
        <v>0</v>
      </c>
      <c r="AK204" s="408">
        <f t="shared" si="82"/>
        <v>0</v>
      </c>
      <c r="AL204" s="408">
        <f t="shared" si="99"/>
        <v>0</v>
      </c>
      <c r="AM204" s="408">
        <f t="shared" si="100"/>
        <v>0</v>
      </c>
      <c r="AN204" s="408">
        <f t="shared" si="101"/>
        <v>0</v>
      </c>
      <c r="AO204" s="408">
        <f t="shared" si="102"/>
        <v>0</v>
      </c>
    </row>
    <row r="205" spans="1:41" s="408" customFormat="1" ht="31.5" x14ac:dyDescent="0.2">
      <c r="A205" s="371">
        <v>65</v>
      </c>
      <c r="B205" s="481" t="s">
        <v>270</v>
      </c>
      <c r="C205" s="456" t="s">
        <v>274</v>
      </c>
      <c r="D205" s="476" t="s">
        <v>206</v>
      </c>
      <c r="E205" s="373">
        <f>'allied infrastructre finishig w'!H30</f>
        <v>45</v>
      </c>
      <c r="F205" s="373"/>
      <c r="G205" s="373"/>
      <c r="H205" s="373"/>
      <c r="I205" s="373"/>
      <c r="J205" s="373"/>
      <c r="K205" s="373"/>
      <c r="L205" s="373"/>
      <c r="M205" s="373"/>
      <c r="N205" s="373"/>
      <c r="O205" s="373"/>
      <c r="P205" s="373"/>
      <c r="Q205" s="373"/>
      <c r="R205" s="373"/>
      <c r="S205" s="373"/>
      <c r="T205" s="373"/>
      <c r="U205" s="374">
        <f t="shared" si="69"/>
        <v>45</v>
      </c>
      <c r="V205" s="374">
        <v>9200</v>
      </c>
      <c r="W205" s="374">
        <f t="shared" si="87"/>
        <v>414000</v>
      </c>
      <c r="X205" s="375"/>
      <c r="Y205" s="376"/>
      <c r="Z205" s="408">
        <f t="shared" si="88"/>
        <v>414000</v>
      </c>
      <c r="AA205" s="408">
        <f t="shared" si="89"/>
        <v>0</v>
      </c>
      <c r="AB205" s="408">
        <f t="shared" si="90"/>
        <v>0</v>
      </c>
      <c r="AC205" s="408">
        <f t="shared" si="91"/>
        <v>0</v>
      </c>
      <c r="AD205" s="408">
        <f t="shared" si="92"/>
        <v>0</v>
      </c>
      <c r="AE205" s="408">
        <f t="shared" si="93"/>
        <v>0</v>
      </c>
      <c r="AF205" s="408">
        <f t="shared" si="94"/>
        <v>0</v>
      </c>
      <c r="AG205" s="408">
        <f t="shared" si="95"/>
        <v>0</v>
      </c>
      <c r="AH205" s="408">
        <f t="shared" si="96"/>
        <v>0</v>
      </c>
      <c r="AI205" s="408">
        <f t="shared" si="97"/>
        <v>0</v>
      </c>
      <c r="AJ205" s="408">
        <f t="shared" si="98"/>
        <v>0</v>
      </c>
      <c r="AK205" s="408">
        <f t="shared" si="82"/>
        <v>0</v>
      </c>
      <c r="AL205" s="408">
        <f t="shared" si="99"/>
        <v>0</v>
      </c>
      <c r="AM205" s="408">
        <f t="shared" si="100"/>
        <v>0</v>
      </c>
      <c r="AN205" s="408">
        <f t="shared" si="101"/>
        <v>0</v>
      </c>
      <c r="AO205" s="408">
        <f t="shared" si="102"/>
        <v>0</v>
      </c>
    </row>
    <row r="206" spans="1:41" s="408" customFormat="1" ht="15.75" x14ac:dyDescent="0.2">
      <c r="A206" s="371">
        <v>66</v>
      </c>
      <c r="B206" s="481" t="s">
        <v>270</v>
      </c>
      <c r="C206" s="456" t="s">
        <v>275</v>
      </c>
      <c r="D206" s="476" t="s">
        <v>206</v>
      </c>
      <c r="E206" s="373">
        <f>'allied infrastructre finishig w'!H31</f>
        <v>45</v>
      </c>
      <c r="F206" s="373"/>
      <c r="G206" s="373"/>
      <c r="H206" s="373"/>
      <c r="I206" s="373"/>
      <c r="J206" s="373"/>
      <c r="K206" s="373"/>
      <c r="L206" s="373"/>
      <c r="M206" s="373"/>
      <c r="N206" s="373"/>
      <c r="O206" s="373"/>
      <c r="P206" s="373"/>
      <c r="Q206" s="373"/>
      <c r="R206" s="373"/>
      <c r="S206" s="373"/>
      <c r="T206" s="373"/>
      <c r="U206" s="374">
        <f t="shared" si="69"/>
        <v>45</v>
      </c>
      <c r="V206" s="374">
        <v>3000</v>
      </c>
      <c r="W206" s="374">
        <f t="shared" si="87"/>
        <v>135000</v>
      </c>
      <c r="X206" s="375"/>
      <c r="Y206" s="376"/>
      <c r="Z206" s="408">
        <f t="shared" si="88"/>
        <v>135000</v>
      </c>
      <c r="AA206" s="408">
        <f t="shared" si="89"/>
        <v>0</v>
      </c>
      <c r="AB206" s="408">
        <f t="shared" si="90"/>
        <v>0</v>
      </c>
      <c r="AC206" s="408">
        <f t="shared" si="91"/>
        <v>0</v>
      </c>
      <c r="AD206" s="408">
        <f t="shared" si="92"/>
        <v>0</v>
      </c>
      <c r="AE206" s="408">
        <f t="shared" si="93"/>
        <v>0</v>
      </c>
      <c r="AF206" s="408">
        <f t="shared" si="94"/>
        <v>0</v>
      </c>
      <c r="AG206" s="408">
        <f t="shared" si="95"/>
        <v>0</v>
      </c>
      <c r="AH206" s="408">
        <f t="shared" si="96"/>
        <v>0</v>
      </c>
      <c r="AI206" s="408">
        <f t="shared" si="97"/>
        <v>0</v>
      </c>
      <c r="AJ206" s="408">
        <f t="shared" si="98"/>
        <v>0</v>
      </c>
      <c r="AK206" s="408">
        <f t="shared" si="82"/>
        <v>0</v>
      </c>
      <c r="AL206" s="408">
        <f t="shared" si="99"/>
        <v>0</v>
      </c>
      <c r="AM206" s="408">
        <f t="shared" si="100"/>
        <v>0</v>
      </c>
      <c r="AN206" s="408">
        <f t="shared" si="101"/>
        <v>0</v>
      </c>
      <c r="AO206" s="408">
        <f t="shared" si="102"/>
        <v>0</v>
      </c>
    </row>
    <row r="207" spans="1:41" s="408" customFormat="1" ht="15.75" x14ac:dyDescent="0.25">
      <c r="A207" s="371"/>
      <c r="B207" s="451"/>
      <c r="C207" s="452"/>
      <c r="D207" s="452"/>
      <c r="E207" s="373"/>
      <c r="F207" s="373"/>
      <c r="G207" s="373"/>
      <c r="H207" s="373"/>
      <c r="I207" s="373"/>
      <c r="J207" s="373"/>
      <c r="K207" s="373"/>
      <c r="L207" s="373"/>
      <c r="M207" s="373"/>
      <c r="N207" s="373"/>
      <c r="O207" s="373"/>
      <c r="P207" s="373"/>
      <c r="Q207" s="373"/>
      <c r="R207" s="373"/>
      <c r="S207" s="373"/>
      <c r="T207" s="373"/>
      <c r="U207" s="374">
        <f t="shared" si="69"/>
        <v>0</v>
      </c>
      <c r="V207" s="374"/>
      <c r="W207" s="374">
        <f t="shared" si="87"/>
        <v>0</v>
      </c>
      <c r="X207" s="375"/>
      <c r="Y207" s="376"/>
      <c r="Z207" s="408">
        <f t="shared" si="88"/>
        <v>0</v>
      </c>
      <c r="AA207" s="408">
        <f t="shared" si="89"/>
        <v>0</v>
      </c>
      <c r="AB207" s="408">
        <f t="shared" si="90"/>
        <v>0</v>
      </c>
      <c r="AC207" s="408">
        <f t="shared" si="91"/>
        <v>0</v>
      </c>
      <c r="AD207" s="408">
        <f t="shared" si="92"/>
        <v>0</v>
      </c>
      <c r="AE207" s="408">
        <f t="shared" si="93"/>
        <v>0</v>
      </c>
      <c r="AF207" s="408">
        <f t="shared" si="94"/>
        <v>0</v>
      </c>
      <c r="AG207" s="408">
        <f t="shared" si="95"/>
        <v>0</v>
      </c>
      <c r="AH207" s="408">
        <f t="shared" si="96"/>
        <v>0</v>
      </c>
      <c r="AI207" s="408">
        <f t="shared" si="97"/>
        <v>0</v>
      </c>
      <c r="AJ207" s="408">
        <f t="shared" si="98"/>
        <v>0</v>
      </c>
      <c r="AK207" s="408">
        <f t="shared" si="82"/>
        <v>0</v>
      </c>
      <c r="AL207" s="408">
        <f t="shared" si="99"/>
        <v>0</v>
      </c>
      <c r="AM207" s="408">
        <f t="shared" si="100"/>
        <v>0</v>
      </c>
      <c r="AN207" s="408">
        <f t="shared" si="101"/>
        <v>0</v>
      </c>
      <c r="AO207" s="408">
        <f t="shared" si="102"/>
        <v>0</v>
      </c>
    </row>
    <row r="208" spans="1:41" s="408" customFormat="1" ht="31.5" x14ac:dyDescent="0.2">
      <c r="A208" s="371">
        <v>67</v>
      </c>
      <c r="B208" s="483">
        <v>15.2</v>
      </c>
      <c r="C208" s="456" t="s">
        <v>469</v>
      </c>
      <c r="D208" s="476" t="s">
        <v>257</v>
      </c>
      <c r="E208" s="373">
        <f>'allied infrastructre finishig w'!H32</f>
        <v>50</v>
      </c>
      <c r="F208" s="373"/>
      <c r="G208" s="373"/>
      <c r="H208" s="373"/>
      <c r="I208" s="373"/>
      <c r="J208" s="373"/>
      <c r="K208" s="373"/>
      <c r="L208" s="373"/>
      <c r="M208" s="373"/>
      <c r="N208" s="373"/>
      <c r="O208" s="373"/>
      <c r="P208" s="373"/>
      <c r="Q208" s="373"/>
      <c r="R208" s="373"/>
      <c r="S208" s="373"/>
      <c r="T208" s="373"/>
      <c r="U208" s="374">
        <f t="shared" si="69"/>
        <v>50</v>
      </c>
      <c r="V208" s="374">
        <v>2928.1</v>
      </c>
      <c r="W208" s="374">
        <f t="shared" si="87"/>
        <v>146405</v>
      </c>
      <c r="X208" s="375"/>
      <c r="Y208" s="376"/>
      <c r="Z208" s="408">
        <f t="shared" si="88"/>
        <v>146405</v>
      </c>
      <c r="AA208" s="408">
        <f t="shared" si="89"/>
        <v>0</v>
      </c>
      <c r="AB208" s="408">
        <f t="shared" si="90"/>
        <v>0</v>
      </c>
      <c r="AC208" s="408">
        <f t="shared" si="91"/>
        <v>0</v>
      </c>
      <c r="AD208" s="408">
        <f t="shared" si="92"/>
        <v>0</v>
      </c>
      <c r="AE208" s="408">
        <f t="shared" si="93"/>
        <v>0</v>
      </c>
      <c r="AF208" s="408">
        <f t="shared" si="94"/>
        <v>0</v>
      </c>
      <c r="AG208" s="408">
        <f t="shared" si="95"/>
        <v>0</v>
      </c>
      <c r="AH208" s="408">
        <f t="shared" si="96"/>
        <v>0</v>
      </c>
      <c r="AI208" s="408">
        <f t="shared" si="97"/>
        <v>0</v>
      </c>
      <c r="AJ208" s="408">
        <f t="shared" si="98"/>
        <v>0</v>
      </c>
      <c r="AK208" s="408">
        <f t="shared" si="82"/>
        <v>0</v>
      </c>
      <c r="AL208" s="408">
        <f t="shared" si="99"/>
        <v>0</v>
      </c>
      <c r="AM208" s="408">
        <f t="shared" si="100"/>
        <v>0</v>
      </c>
      <c r="AN208" s="408">
        <f t="shared" si="101"/>
        <v>0</v>
      </c>
      <c r="AO208" s="408">
        <f t="shared" si="102"/>
        <v>0</v>
      </c>
    </row>
    <row r="209" spans="1:41" s="408" customFormat="1" ht="15.75" x14ac:dyDescent="0.25">
      <c r="A209" s="371"/>
      <c r="B209" s="451"/>
      <c r="C209" s="452"/>
      <c r="D209" s="452"/>
      <c r="E209" s="373"/>
      <c r="F209" s="373"/>
      <c r="G209" s="373"/>
      <c r="H209" s="373"/>
      <c r="I209" s="373"/>
      <c r="J209" s="373"/>
      <c r="K209" s="373"/>
      <c r="L209" s="373"/>
      <c r="M209" s="373"/>
      <c r="N209" s="373"/>
      <c r="O209" s="373"/>
      <c r="P209" s="373"/>
      <c r="Q209" s="373"/>
      <c r="R209" s="373"/>
      <c r="S209" s="373"/>
      <c r="T209" s="373"/>
      <c r="U209" s="374">
        <f t="shared" si="69"/>
        <v>0</v>
      </c>
      <c r="V209" s="374"/>
      <c r="W209" s="374">
        <f t="shared" si="87"/>
        <v>0</v>
      </c>
      <c r="X209" s="375"/>
      <c r="Y209" s="376"/>
      <c r="Z209" s="408">
        <f t="shared" si="88"/>
        <v>0</v>
      </c>
      <c r="AA209" s="408">
        <f t="shared" si="89"/>
        <v>0</v>
      </c>
      <c r="AB209" s="408">
        <f t="shared" si="90"/>
        <v>0</v>
      </c>
      <c r="AC209" s="408">
        <f t="shared" si="91"/>
        <v>0</v>
      </c>
      <c r="AD209" s="408">
        <f t="shared" si="92"/>
        <v>0</v>
      </c>
      <c r="AE209" s="408">
        <f t="shared" si="93"/>
        <v>0</v>
      </c>
      <c r="AF209" s="408">
        <f t="shared" si="94"/>
        <v>0</v>
      </c>
      <c r="AG209" s="408">
        <f t="shared" si="95"/>
        <v>0</v>
      </c>
      <c r="AH209" s="408">
        <f t="shared" si="96"/>
        <v>0</v>
      </c>
      <c r="AI209" s="408">
        <f t="shared" si="97"/>
        <v>0</v>
      </c>
      <c r="AJ209" s="408">
        <f t="shared" si="98"/>
        <v>0</v>
      </c>
      <c r="AK209" s="408">
        <f t="shared" si="82"/>
        <v>0</v>
      </c>
      <c r="AL209" s="408">
        <f t="shared" si="99"/>
        <v>0</v>
      </c>
      <c r="AM209" s="408">
        <f t="shared" si="100"/>
        <v>0</v>
      </c>
      <c r="AN209" s="408">
        <f t="shared" si="101"/>
        <v>0</v>
      </c>
      <c r="AO209" s="408">
        <f t="shared" si="102"/>
        <v>0</v>
      </c>
    </row>
    <row r="210" spans="1:41" s="408" customFormat="1" ht="94.5" x14ac:dyDescent="0.2">
      <c r="A210" s="371">
        <v>68</v>
      </c>
      <c r="B210" s="481">
        <v>16.62</v>
      </c>
      <c r="C210" s="456" t="s">
        <v>470</v>
      </c>
      <c r="D210" s="476" t="s">
        <v>278</v>
      </c>
      <c r="E210" s="373">
        <f>'allied infrastructre finishig w'!H34</f>
        <v>1031.8499999999999</v>
      </c>
      <c r="F210" s="373"/>
      <c r="G210" s="373"/>
      <c r="H210" s="373"/>
      <c r="I210" s="373"/>
      <c r="J210" s="373"/>
      <c r="K210" s="373"/>
      <c r="L210" s="373"/>
      <c r="M210" s="373"/>
      <c r="N210" s="373"/>
      <c r="O210" s="373"/>
      <c r="P210" s="373"/>
      <c r="Q210" s="373"/>
      <c r="R210" s="373"/>
      <c r="S210" s="373"/>
      <c r="T210" s="373"/>
      <c r="U210" s="374">
        <f t="shared" si="69"/>
        <v>1031.8499999999999</v>
      </c>
      <c r="V210" s="374">
        <v>623.79999999999995</v>
      </c>
      <c r="W210" s="374">
        <f t="shared" si="87"/>
        <v>643668.02999999991</v>
      </c>
      <c r="X210" s="375"/>
      <c r="Y210" s="376"/>
      <c r="Z210" s="408">
        <f t="shared" si="88"/>
        <v>643668.02999999991</v>
      </c>
      <c r="AA210" s="408">
        <f t="shared" si="89"/>
        <v>0</v>
      </c>
      <c r="AB210" s="408">
        <f t="shared" si="90"/>
        <v>0</v>
      </c>
      <c r="AC210" s="408">
        <f t="shared" si="91"/>
        <v>0</v>
      </c>
      <c r="AD210" s="408">
        <f t="shared" si="92"/>
        <v>0</v>
      </c>
      <c r="AE210" s="408">
        <f t="shared" si="93"/>
        <v>0</v>
      </c>
      <c r="AF210" s="408">
        <f t="shared" si="94"/>
        <v>0</v>
      </c>
      <c r="AG210" s="408">
        <f t="shared" si="95"/>
        <v>0</v>
      </c>
      <c r="AH210" s="408">
        <f t="shared" si="96"/>
        <v>0</v>
      </c>
      <c r="AI210" s="408">
        <f t="shared" si="97"/>
        <v>0</v>
      </c>
      <c r="AJ210" s="408">
        <f t="shared" si="98"/>
        <v>0</v>
      </c>
      <c r="AK210" s="408">
        <f t="shared" si="82"/>
        <v>0</v>
      </c>
      <c r="AL210" s="408">
        <f t="shared" si="99"/>
        <v>0</v>
      </c>
      <c r="AM210" s="408">
        <f t="shared" si="100"/>
        <v>0</v>
      </c>
      <c r="AN210" s="408">
        <f t="shared" si="101"/>
        <v>0</v>
      </c>
      <c r="AO210" s="408">
        <f t="shared" si="102"/>
        <v>0</v>
      </c>
    </row>
    <row r="211" spans="1:41" s="408" customFormat="1" ht="15.75" x14ac:dyDescent="0.2">
      <c r="A211" s="371"/>
      <c r="B211" s="481"/>
      <c r="C211" s="456"/>
      <c r="D211" s="476"/>
      <c r="E211" s="373"/>
      <c r="F211" s="373"/>
      <c r="G211" s="373"/>
      <c r="H211" s="373"/>
      <c r="I211" s="373"/>
      <c r="J211" s="373"/>
      <c r="K211" s="373"/>
      <c r="L211" s="373"/>
      <c r="M211" s="373"/>
      <c r="N211" s="373"/>
      <c r="O211" s="373"/>
      <c r="P211" s="373"/>
      <c r="Q211" s="373"/>
      <c r="R211" s="373"/>
      <c r="S211" s="373"/>
      <c r="T211" s="373"/>
      <c r="U211" s="374">
        <f t="shared" si="69"/>
        <v>0</v>
      </c>
      <c r="V211" s="374"/>
      <c r="W211" s="374">
        <f t="shared" si="87"/>
        <v>0</v>
      </c>
      <c r="X211" s="375"/>
      <c r="Y211" s="376"/>
      <c r="Z211" s="408">
        <f t="shared" si="88"/>
        <v>0</v>
      </c>
      <c r="AA211" s="408">
        <f t="shared" si="89"/>
        <v>0</v>
      </c>
      <c r="AB211" s="408">
        <f t="shared" si="90"/>
        <v>0</v>
      </c>
      <c r="AC211" s="408">
        <f t="shared" si="91"/>
        <v>0</v>
      </c>
      <c r="AD211" s="408">
        <f t="shared" si="92"/>
        <v>0</v>
      </c>
      <c r="AE211" s="408">
        <f t="shared" si="93"/>
        <v>0</v>
      </c>
      <c r="AF211" s="408">
        <f t="shared" si="94"/>
        <v>0</v>
      </c>
      <c r="AG211" s="408">
        <f t="shared" si="95"/>
        <v>0</v>
      </c>
      <c r="AH211" s="408">
        <f t="shared" si="96"/>
        <v>0</v>
      </c>
      <c r="AI211" s="408">
        <f t="shared" si="97"/>
        <v>0</v>
      </c>
      <c r="AJ211" s="408">
        <f t="shared" si="98"/>
        <v>0</v>
      </c>
      <c r="AK211" s="408">
        <f t="shared" si="82"/>
        <v>0</v>
      </c>
      <c r="AL211" s="408">
        <f t="shared" si="99"/>
        <v>0</v>
      </c>
      <c r="AM211" s="408">
        <f t="shared" si="100"/>
        <v>0</v>
      </c>
      <c r="AN211" s="408">
        <f t="shared" si="101"/>
        <v>0</v>
      </c>
      <c r="AO211" s="408">
        <f t="shared" si="102"/>
        <v>0</v>
      </c>
    </row>
    <row r="212" spans="1:41" s="408" customFormat="1" ht="15.75" x14ac:dyDescent="0.2">
      <c r="A212" s="371"/>
      <c r="B212" s="481"/>
      <c r="C212" s="456"/>
      <c r="D212" s="476"/>
      <c r="E212" s="373"/>
      <c r="F212" s="373"/>
      <c r="G212" s="373"/>
      <c r="H212" s="373"/>
      <c r="I212" s="373"/>
      <c r="J212" s="373"/>
      <c r="K212" s="373"/>
      <c r="L212" s="373"/>
      <c r="M212" s="373"/>
      <c r="N212" s="373"/>
      <c r="O212" s="373"/>
      <c r="P212" s="373"/>
      <c r="Q212" s="373"/>
      <c r="R212" s="373"/>
      <c r="S212" s="373"/>
      <c r="T212" s="373"/>
      <c r="U212" s="374">
        <f t="shared" ref="U212:U221" si="103">SUM(E212:T212)</f>
        <v>0</v>
      </c>
      <c r="V212" s="374"/>
      <c r="W212" s="374">
        <f t="shared" ref="W212:W216" si="104">U212*V212</f>
        <v>0</v>
      </c>
      <c r="X212" s="375"/>
      <c r="Y212" s="376"/>
      <c r="Z212" s="408">
        <f t="shared" si="88"/>
        <v>0</v>
      </c>
      <c r="AA212" s="408">
        <f t="shared" si="89"/>
        <v>0</v>
      </c>
      <c r="AB212" s="408">
        <f t="shared" si="90"/>
        <v>0</v>
      </c>
      <c r="AC212" s="408">
        <f t="shared" si="91"/>
        <v>0</v>
      </c>
      <c r="AD212" s="408">
        <f t="shared" si="92"/>
        <v>0</v>
      </c>
      <c r="AE212" s="408">
        <f t="shared" si="93"/>
        <v>0</v>
      </c>
      <c r="AF212" s="408">
        <f t="shared" si="94"/>
        <v>0</v>
      </c>
      <c r="AG212" s="408">
        <f t="shared" si="95"/>
        <v>0</v>
      </c>
      <c r="AH212" s="408">
        <f t="shared" si="96"/>
        <v>0</v>
      </c>
      <c r="AI212" s="408">
        <f t="shared" si="97"/>
        <v>0</v>
      </c>
      <c r="AJ212" s="408">
        <f t="shared" si="98"/>
        <v>0</v>
      </c>
      <c r="AK212" s="408">
        <f t="shared" ref="AK212:AK233" si="105">V212*P212</f>
        <v>0</v>
      </c>
      <c r="AL212" s="408">
        <f t="shared" si="99"/>
        <v>0</v>
      </c>
      <c r="AM212" s="408">
        <f t="shared" si="100"/>
        <v>0</v>
      </c>
      <c r="AN212" s="408">
        <f t="shared" si="101"/>
        <v>0</v>
      </c>
      <c r="AO212" s="408">
        <f t="shared" si="102"/>
        <v>0</v>
      </c>
    </row>
    <row r="213" spans="1:41" s="408" customFormat="1" ht="141.75" x14ac:dyDescent="0.2">
      <c r="A213" s="371">
        <v>69</v>
      </c>
      <c r="B213" s="481">
        <v>16.5</v>
      </c>
      <c r="C213" s="456" t="s">
        <v>471</v>
      </c>
      <c r="D213" s="476" t="s">
        <v>280</v>
      </c>
      <c r="E213" s="373"/>
      <c r="F213" s="373"/>
      <c r="G213" s="373"/>
      <c r="H213" s="373"/>
      <c r="I213" s="373"/>
      <c r="J213" s="373"/>
      <c r="K213" s="373"/>
      <c r="L213" s="373"/>
      <c r="M213" s="373"/>
      <c r="N213" s="373"/>
      <c r="O213" s="373"/>
      <c r="P213" s="373"/>
      <c r="Q213" s="373"/>
      <c r="R213" s="373"/>
      <c r="S213" s="373"/>
      <c r="T213" s="373"/>
      <c r="U213" s="374">
        <f t="shared" si="103"/>
        <v>0</v>
      </c>
      <c r="V213" s="374">
        <v>175.5</v>
      </c>
      <c r="W213" s="374">
        <f t="shared" si="104"/>
        <v>0</v>
      </c>
      <c r="X213" s="375"/>
      <c r="Y213" s="376"/>
      <c r="Z213" s="408">
        <f t="shared" si="88"/>
        <v>0</v>
      </c>
      <c r="AA213" s="408">
        <f t="shared" si="89"/>
        <v>0</v>
      </c>
      <c r="AB213" s="408">
        <f t="shared" si="90"/>
        <v>0</v>
      </c>
      <c r="AC213" s="408">
        <f t="shared" si="91"/>
        <v>0</v>
      </c>
      <c r="AD213" s="408">
        <f t="shared" si="92"/>
        <v>0</v>
      </c>
      <c r="AE213" s="408">
        <f t="shared" si="93"/>
        <v>0</v>
      </c>
      <c r="AF213" s="408">
        <f t="shared" si="94"/>
        <v>0</v>
      </c>
      <c r="AG213" s="408">
        <f t="shared" si="95"/>
        <v>0</v>
      </c>
      <c r="AH213" s="408">
        <f t="shared" si="96"/>
        <v>0</v>
      </c>
      <c r="AI213" s="408">
        <f t="shared" si="97"/>
        <v>0</v>
      </c>
      <c r="AJ213" s="408">
        <f t="shared" si="98"/>
        <v>0</v>
      </c>
      <c r="AK213" s="408">
        <f t="shared" si="105"/>
        <v>0</v>
      </c>
      <c r="AL213" s="408">
        <f t="shared" si="99"/>
        <v>0</v>
      </c>
      <c r="AM213" s="408">
        <f t="shared" si="100"/>
        <v>0</v>
      </c>
      <c r="AN213" s="408">
        <f t="shared" si="101"/>
        <v>0</v>
      </c>
      <c r="AO213" s="408">
        <f t="shared" si="102"/>
        <v>0</v>
      </c>
    </row>
    <row r="214" spans="1:41" s="408" customFormat="1" ht="15.75" x14ac:dyDescent="0.25">
      <c r="A214" s="371"/>
      <c r="B214" s="451"/>
      <c r="C214" s="452"/>
      <c r="D214" s="452"/>
      <c r="E214" s="373"/>
      <c r="F214" s="373"/>
      <c r="G214" s="373"/>
      <c r="H214" s="373"/>
      <c r="I214" s="373"/>
      <c r="J214" s="373"/>
      <c r="K214" s="373"/>
      <c r="L214" s="373"/>
      <c r="M214" s="373"/>
      <c r="N214" s="373"/>
      <c r="O214" s="373"/>
      <c r="P214" s="373"/>
      <c r="Q214" s="373"/>
      <c r="R214" s="373"/>
      <c r="S214" s="373"/>
      <c r="T214" s="373"/>
      <c r="U214" s="374">
        <f t="shared" si="103"/>
        <v>0</v>
      </c>
      <c r="V214" s="374"/>
      <c r="W214" s="374">
        <f t="shared" si="104"/>
        <v>0</v>
      </c>
      <c r="X214" s="375"/>
      <c r="Y214" s="376"/>
      <c r="Z214" s="408">
        <f t="shared" si="88"/>
        <v>0</v>
      </c>
      <c r="AA214" s="408">
        <f t="shared" si="89"/>
        <v>0</v>
      </c>
      <c r="AB214" s="408">
        <f t="shared" si="90"/>
        <v>0</v>
      </c>
      <c r="AC214" s="408">
        <f t="shared" si="91"/>
        <v>0</v>
      </c>
      <c r="AD214" s="408">
        <f t="shared" si="92"/>
        <v>0</v>
      </c>
      <c r="AE214" s="408">
        <f t="shared" si="93"/>
        <v>0</v>
      </c>
      <c r="AF214" s="408">
        <f t="shared" si="94"/>
        <v>0</v>
      </c>
      <c r="AG214" s="408">
        <f t="shared" si="95"/>
        <v>0</v>
      </c>
      <c r="AH214" s="408">
        <f t="shared" si="96"/>
        <v>0</v>
      </c>
      <c r="AI214" s="408">
        <f t="shared" si="97"/>
        <v>0</v>
      </c>
      <c r="AJ214" s="408">
        <f t="shared" si="98"/>
        <v>0</v>
      </c>
      <c r="AK214" s="408">
        <f t="shared" si="105"/>
        <v>0</v>
      </c>
      <c r="AL214" s="408">
        <f t="shared" si="99"/>
        <v>0</v>
      </c>
      <c r="AM214" s="408">
        <f t="shared" si="100"/>
        <v>0</v>
      </c>
      <c r="AN214" s="408">
        <f t="shared" si="101"/>
        <v>0</v>
      </c>
      <c r="AO214" s="408">
        <f t="shared" si="102"/>
        <v>0</v>
      </c>
    </row>
    <row r="215" spans="1:41" s="408" customFormat="1" ht="31.5" x14ac:dyDescent="0.2">
      <c r="A215" s="371">
        <v>70</v>
      </c>
      <c r="B215" s="481" t="s">
        <v>270</v>
      </c>
      <c r="C215" s="456" t="s">
        <v>281</v>
      </c>
      <c r="D215" s="476" t="s">
        <v>280</v>
      </c>
      <c r="E215" s="373">
        <f>'allied infrastructre finishig w'!H39</f>
        <v>764.33333333333337</v>
      </c>
      <c r="F215" s="373"/>
      <c r="G215" s="373"/>
      <c r="H215" s="373"/>
      <c r="I215" s="373"/>
      <c r="J215" s="373"/>
      <c r="K215" s="373"/>
      <c r="L215" s="373"/>
      <c r="M215" s="373"/>
      <c r="N215" s="373"/>
      <c r="O215" s="373"/>
      <c r="P215" s="373"/>
      <c r="Q215" s="373"/>
      <c r="R215" s="373"/>
      <c r="S215" s="373"/>
      <c r="T215" s="373"/>
      <c r="U215" s="374">
        <f t="shared" si="103"/>
        <v>764.33333333333337</v>
      </c>
      <c r="V215" s="374">
        <v>2463</v>
      </c>
      <c r="W215" s="374">
        <f t="shared" si="104"/>
        <v>1882553</v>
      </c>
      <c r="X215" s="375"/>
      <c r="Y215" s="376"/>
      <c r="Z215" s="408">
        <f t="shared" si="88"/>
        <v>1882553</v>
      </c>
      <c r="AA215" s="408">
        <f t="shared" si="89"/>
        <v>0</v>
      </c>
      <c r="AB215" s="408">
        <f t="shared" si="90"/>
        <v>0</v>
      </c>
      <c r="AC215" s="408">
        <f t="shared" si="91"/>
        <v>0</v>
      </c>
      <c r="AD215" s="408">
        <f t="shared" si="92"/>
        <v>0</v>
      </c>
      <c r="AE215" s="408">
        <f t="shared" si="93"/>
        <v>0</v>
      </c>
      <c r="AF215" s="408">
        <f t="shared" si="94"/>
        <v>0</v>
      </c>
      <c r="AG215" s="408">
        <f t="shared" si="95"/>
        <v>0</v>
      </c>
      <c r="AH215" s="408">
        <f t="shared" si="96"/>
        <v>0</v>
      </c>
      <c r="AI215" s="408">
        <f t="shared" si="97"/>
        <v>0</v>
      </c>
      <c r="AJ215" s="408">
        <f t="shared" si="98"/>
        <v>0</v>
      </c>
      <c r="AK215" s="408">
        <f t="shared" si="105"/>
        <v>0</v>
      </c>
      <c r="AL215" s="408">
        <f t="shared" si="99"/>
        <v>0</v>
      </c>
      <c r="AM215" s="408">
        <f t="shared" si="100"/>
        <v>0</v>
      </c>
      <c r="AN215" s="408">
        <f t="shared" si="101"/>
        <v>0</v>
      </c>
      <c r="AO215" s="408">
        <f t="shared" si="102"/>
        <v>0</v>
      </c>
    </row>
    <row r="216" spans="1:41" s="408" customFormat="1" ht="15.75" x14ac:dyDescent="0.2">
      <c r="A216" s="371">
        <v>71</v>
      </c>
      <c r="B216" s="481" t="s">
        <v>270</v>
      </c>
      <c r="C216" s="456" t="s">
        <v>282</v>
      </c>
      <c r="D216" s="476" t="s">
        <v>283</v>
      </c>
      <c r="E216" s="373">
        <f>'allied infrastructre finishig w'!H40</f>
        <v>100</v>
      </c>
      <c r="F216" s="373"/>
      <c r="G216" s="373"/>
      <c r="H216" s="373"/>
      <c r="I216" s="373"/>
      <c r="J216" s="373"/>
      <c r="K216" s="373"/>
      <c r="L216" s="373"/>
      <c r="M216" s="373"/>
      <c r="N216" s="373"/>
      <c r="O216" s="373"/>
      <c r="P216" s="373"/>
      <c r="Q216" s="373"/>
      <c r="R216" s="373"/>
      <c r="S216" s="373"/>
      <c r="T216" s="373"/>
      <c r="U216" s="374">
        <f t="shared" si="103"/>
        <v>100</v>
      </c>
      <c r="V216" s="374">
        <v>1478</v>
      </c>
      <c r="W216" s="374">
        <f t="shared" si="104"/>
        <v>147800</v>
      </c>
      <c r="X216" s="375"/>
      <c r="Y216" s="376"/>
      <c r="Z216" s="408">
        <f t="shared" si="88"/>
        <v>147800</v>
      </c>
      <c r="AA216" s="408">
        <f t="shared" si="89"/>
        <v>0</v>
      </c>
      <c r="AB216" s="408">
        <f t="shared" si="90"/>
        <v>0</v>
      </c>
      <c r="AC216" s="408">
        <f t="shared" si="91"/>
        <v>0</v>
      </c>
      <c r="AD216" s="408">
        <f t="shared" si="92"/>
        <v>0</v>
      </c>
      <c r="AE216" s="408">
        <f t="shared" si="93"/>
        <v>0</v>
      </c>
      <c r="AF216" s="408">
        <f t="shared" si="94"/>
        <v>0</v>
      </c>
      <c r="AG216" s="408">
        <f t="shared" si="95"/>
        <v>0</v>
      </c>
      <c r="AH216" s="408">
        <f t="shared" si="96"/>
        <v>0</v>
      </c>
      <c r="AI216" s="408">
        <f t="shared" si="97"/>
        <v>0</v>
      </c>
      <c r="AJ216" s="408">
        <f t="shared" si="98"/>
        <v>0</v>
      </c>
      <c r="AK216" s="408">
        <f t="shared" si="105"/>
        <v>0</v>
      </c>
      <c r="AL216" s="408">
        <f t="shared" si="99"/>
        <v>0</v>
      </c>
      <c r="AM216" s="408">
        <f t="shared" si="100"/>
        <v>0</v>
      </c>
      <c r="AN216" s="408">
        <f t="shared" si="101"/>
        <v>0</v>
      </c>
      <c r="AO216" s="408">
        <f t="shared" si="102"/>
        <v>0</v>
      </c>
    </row>
    <row r="217" spans="1:41" s="408" customFormat="1" ht="15.75" x14ac:dyDescent="0.25">
      <c r="A217" s="371">
        <v>72</v>
      </c>
      <c r="B217" s="481" t="s">
        <v>270</v>
      </c>
      <c r="C217" s="456" t="s">
        <v>284</v>
      </c>
      <c r="D217" s="450" t="s">
        <v>180</v>
      </c>
      <c r="E217" s="373"/>
      <c r="F217" s="373"/>
      <c r="G217" s="373"/>
      <c r="H217" s="373"/>
      <c r="I217" s="373"/>
      <c r="J217" s="373"/>
      <c r="K217" s="373"/>
      <c r="L217" s="373"/>
      <c r="M217" s="373"/>
      <c r="N217" s="373"/>
      <c r="O217" s="373"/>
      <c r="P217" s="373"/>
      <c r="Q217" s="373"/>
      <c r="R217" s="373"/>
      <c r="S217" s="373"/>
      <c r="T217" s="373"/>
      <c r="U217" s="374">
        <f t="shared" si="103"/>
        <v>0</v>
      </c>
      <c r="V217" s="426"/>
      <c r="W217" s="374">
        <f>U217*V218</f>
        <v>0</v>
      </c>
      <c r="X217" s="375"/>
      <c r="Y217" s="376"/>
      <c r="Z217" s="408">
        <f>V218*E217</f>
        <v>0</v>
      </c>
      <c r="AA217" s="408">
        <f>V218*F217</f>
        <v>0</v>
      </c>
      <c r="AB217" s="408">
        <f>V218*G217</f>
        <v>0</v>
      </c>
      <c r="AC217" s="408">
        <f>V218*H217</f>
        <v>0</v>
      </c>
      <c r="AD217" s="408">
        <f>V218*I217</f>
        <v>0</v>
      </c>
      <c r="AE217" s="408">
        <f>V218*J217</f>
        <v>0</v>
      </c>
      <c r="AF217" s="408">
        <f>V218*K217</f>
        <v>0</v>
      </c>
      <c r="AG217" s="408">
        <f>V218*L217</f>
        <v>0</v>
      </c>
      <c r="AH217" s="408">
        <f>V218*M217</f>
        <v>0</v>
      </c>
      <c r="AI217" s="408">
        <f>V218*N217</f>
        <v>0</v>
      </c>
      <c r="AJ217" s="408">
        <f>V218*O217</f>
        <v>0</v>
      </c>
      <c r="AK217" s="408">
        <f t="shared" si="105"/>
        <v>0</v>
      </c>
      <c r="AL217" s="408">
        <f>V218*Q217</f>
        <v>0</v>
      </c>
      <c r="AM217" s="408">
        <f>V218*R217</f>
        <v>0</v>
      </c>
      <c r="AN217" s="408">
        <f>V218*S217</f>
        <v>0</v>
      </c>
      <c r="AO217" s="408">
        <f>V218*T217</f>
        <v>0</v>
      </c>
    </row>
    <row r="218" spans="1:41" s="408" customFormat="1" ht="15.75" x14ac:dyDescent="0.2">
      <c r="A218" s="371"/>
      <c r="B218" s="474" t="s">
        <v>178</v>
      </c>
      <c r="C218" s="456" t="s">
        <v>285</v>
      </c>
      <c r="D218" s="450" t="s">
        <v>180</v>
      </c>
      <c r="E218" s="373">
        <f>'allied infrastructre finishig w'!H42</f>
        <v>2600</v>
      </c>
      <c r="F218" s="373"/>
      <c r="G218" s="373"/>
      <c r="H218" s="373"/>
      <c r="I218" s="373"/>
      <c r="J218" s="373"/>
      <c r="K218" s="373"/>
      <c r="L218" s="373"/>
      <c r="M218" s="373"/>
      <c r="N218" s="373"/>
      <c r="O218" s="373"/>
      <c r="P218" s="373"/>
      <c r="Q218" s="373"/>
      <c r="R218" s="373"/>
      <c r="S218" s="373"/>
      <c r="T218" s="373"/>
      <c r="U218" s="374">
        <f t="shared" si="103"/>
        <v>2600</v>
      </c>
      <c r="V218" s="374">
        <v>395</v>
      </c>
      <c r="W218" s="374">
        <f>U218*V218</f>
        <v>1027000</v>
      </c>
      <c r="X218" s="375"/>
      <c r="Y218" s="376"/>
      <c r="Z218" s="408">
        <f>E218*V218</f>
        <v>1027000</v>
      </c>
      <c r="AA218" s="408">
        <f>V219*F218</f>
        <v>0</v>
      </c>
      <c r="AB218" s="408">
        <f>V219*G218</f>
        <v>0</v>
      </c>
      <c r="AC218" s="408">
        <f>V219*H218</f>
        <v>0</v>
      </c>
      <c r="AD218" s="408">
        <f>V219*I218</f>
        <v>0</v>
      </c>
      <c r="AE218" s="408">
        <f>V219*J218</f>
        <v>0</v>
      </c>
      <c r="AF218" s="408">
        <f>V219*K218</f>
        <v>0</v>
      </c>
      <c r="AG218" s="408">
        <f>V219*L218</f>
        <v>0</v>
      </c>
      <c r="AH218" s="408">
        <f>V219*M218</f>
        <v>0</v>
      </c>
      <c r="AI218" s="408">
        <f>V219*N218</f>
        <v>0</v>
      </c>
      <c r="AJ218" s="408">
        <f>V219*O218</f>
        <v>0</v>
      </c>
      <c r="AK218" s="408">
        <f t="shared" si="105"/>
        <v>0</v>
      </c>
      <c r="AL218" s="408">
        <f>V219*Q218</f>
        <v>0</v>
      </c>
      <c r="AM218" s="408">
        <f>V219*R218</f>
        <v>0</v>
      </c>
      <c r="AN218" s="408">
        <f>V219*S218</f>
        <v>0</v>
      </c>
      <c r="AO218" s="408">
        <f>V219*T218</f>
        <v>0</v>
      </c>
    </row>
    <row r="219" spans="1:41" s="408" customFormat="1" ht="15.75" x14ac:dyDescent="0.2">
      <c r="A219" s="371"/>
      <c r="B219" s="474" t="s">
        <v>181</v>
      </c>
      <c r="C219" s="456" t="s">
        <v>286</v>
      </c>
      <c r="D219" s="450" t="s">
        <v>180</v>
      </c>
      <c r="E219" s="373">
        <f>'allied infrastructre finishig w'!H43</f>
        <v>20</v>
      </c>
      <c r="F219" s="373"/>
      <c r="G219" s="373"/>
      <c r="H219" s="373"/>
      <c r="I219" s="373"/>
      <c r="J219" s="373"/>
      <c r="K219" s="373"/>
      <c r="L219" s="373"/>
      <c r="M219" s="373"/>
      <c r="N219" s="373"/>
      <c r="O219" s="373"/>
      <c r="P219" s="373"/>
      <c r="Q219" s="373"/>
      <c r="R219" s="373"/>
      <c r="S219" s="373"/>
      <c r="T219" s="373"/>
      <c r="U219" s="374">
        <f t="shared" si="103"/>
        <v>20</v>
      </c>
      <c r="V219" s="374">
        <v>591</v>
      </c>
      <c r="W219" s="374">
        <f>U219*V220</f>
        <v>14200</v>
      </c>
      <c r="X219" s="375"/>
      <c r="Y219" s="376"/>
      <c r="Z219" s="408">
        <f>E219*V219</f>
        <v>11820</v>
      </c>
      <c r="AA219" s="408">
        <f>V220*F219</f>
        <v>0</v>
      </c>
      <c r="AB219" s="408">
        <f>V220*G219</f>
        <v>0</v>
      </c>
      <c r="AC219" s="408">
        <f>V220*H219</f>
        <v>0</v>
      </c>
      <c r="AD219" s="408">
        <f>V220*I219</f>
        <v>0</v>
      </c>
      <c r="AE219" s="408">
        <f>V220*J219</f>
        <v>0</v>
      </c>
      <c r="AF219" s="408">
        <f>V220*K219</f>
        <v>0</v>
      </c>
      <c r="AG219" s="408">
        <f>V220*L219</f>
        <v>0</v>
      </c>
      <c r="AH219" s="408">
        <f>V220*M219</f>
        <v>0</v>
      </c>
      <c r="AI219" s="408">
        <f>V220*N219</f>
        <v>0</v>
      </c>
      <c r="AJ219" s="408">
        <f>V220*O219</f>
        <v>0</v>
      </c>
      <c r="AK219" s="408">
        <f t="shared" si="105"/>
        <v>0</v>
      </c>
      <c r="AL219" s="408">
        <f>V220*Q219</f>
        <v>0</v>
      </c>
      <c r="AM219" s="408">
        <f>V220*R219</f>
        <v>0</v>
      </c>
      <c r="AN219" s="408">
        <f>V220*S219</f>
        <v>0</v>
      </c>
      <c r="AO219" s="408">
        <f>V220*T219</f>
        <v>0</v>
      </c>
    </row>
    <row r="220" spans="1:41" s="408" customFormat="1" ht="15.75" x14ac:dyDescent="0.2">
      <c r="A220" s="371"/>
      <c r="B220" s="474" t="s">
        <v>183</v>
      </c>
      <c r="C220" s="456" t="s">
        <v>287</v>
      </c>
      <c r="D220" s="450" t="s">
        <v>180</v>
      </c>
      <c r="E220" s="373">
        <f>'allied infrastructre finishig w'!H44</f>
        <v>15</v>
      </c>
      <c r="F220" s="373"/>
      <c r="G220" s="373"/>
      <c r="H220" s="373"/>
      <c r="I220" s="373"/>
      <c r="J220" s="373"/>
      <c r="K220" s="373"/>
      <c r="L220" s="373"/>
      <c r="M220" s="373"/>
      <c r="N220" s="373"/>
      <c r="O220" s="373"/>
      <c r="P220" s="373"/>
      <c r="Q220" s="373"/>
      <c r="R220" s="373"/>
      <c r="S220" s="373"/>
      <c r="T220" s="373"/>
      <c r="U220" s="374">
        <f t="shared" si="103"/>
        <v>15</v>
      </c>
      <c r="V220" s="374">
        <v>710</v>
      </c>
      <c r="W220" s="374">
        <f>U220*V221</f>
        <v>14610</v>
      </c>
      <c r="X220" s="375"/>
      <c r="Y220" s="376"/>
      <c r="Z220" s="408">
        <f>E220*V220</f>
        <v>10650</v>
      </c>
      <c r="AA220" s="408">
        <f>V221*F220</f>
        <v>0</v>
      </c>
      <c r="AB220" s="408">
        <f>V221*G220</f>
        <v>0</v>
      </c>
      <c r="AC220" s="408">
        <f>V221*H220</f>
        <v>0</v>
      </c>
      <c r="AD220" s="408">
        <f>V221*I220</f>
        <v>0</v>
      </c>
      <c r="AE220" s="408">
        <f>V221*J220</f>
        <v>0</v>
      </c>
      <c r="AF220" s="408">
        <f>V221*K220</f>
        <v>0</v>
      </c>
      <c r="AG220" s="408">
        <f>V221*L220</f>
        <v>0</v>
      </c>
      <c r="AH220" s="408">
        <f>V221*M220</f>
        <v>0</v>
      </c>
      <c r="AI220" s="408">
        <f>V221*N220</f>
        <v>0</v>
      </c>
      <c r="AJ220" s="408">
        <f>V221*O220</f>
        <v>0</v>
      </c>
      <c r="AK220" s="408">
        <f t="shared" si="105"/>
        <v>0</v>
      </c>
      <c r="AL220" s="408">
        <f>V221*Q220</f>
        <v>0</v>
      </c>
      <c r="AM220" s="408">
        <f>V221*R220</f>
        <v>0</v>
      </c>
      <c r="AN220" s="408">
        <f>V221*S220</f>
        <v>0</v>
      </c>
      <c r="AO220" s="408">
        <f>V221*T220</f>
        <v>0</v>
      </c>
    </row>
    <row r="221" spans="1:41" s="408" customFormat="1" ht="15.75" x14ac:dyDescent="0.2">
      <c r="A221" s="371"/>
      <c r="B221" s="474" t="s">
        <v>185</v>
      </c>
      <c r="C221" s="456" t="s">
        <v>288</v>
      </c>
      <c r="D221" s="450" t="s">
        <v>180</v>
      </c>
      <c r="E221" s="373">
        <f>'allied infrastructre finishig w'!H45</f>
        <v>20</v>
      </c>
      <c r="F221" s="373"/>
      <c r="G221" s="373"/>
      <c r="H221" s="373"/>
      <c r="I221" s="373"/>
      <c r="J221" s="373"/>
      <c r="K221" s="373"/>
      <c r="L221" s="373"/>
      <c r="M221" s="373"/>
      <c r="N221" s="373"/>
      <c r="O221" s="373"/>
      <c r="P221" s="373"/>
      <c r="Q221" s="373"/>
      <c r="R221" s="373"/>
      <c r="S221" s="373"/>
      <c r="T221" s="373"/>
      <c r="U221" s="374">
        <f t="shared" si="103"/>
        <v>20</v>
      </c>
      <c r="V221" s="374">
        <v>974</v>
      </c>
      <c r="W221" s="374">
        <f>U221*V221</f>
        <v>19480</v>
      </c>
      <c r="X221" s="375"/>
      <c r="Y221" s="376"/>
      <c r="Z221" s="408">
        <f>E221*V221</f>
        <v>19480</v>
      </c>
      <c r="AA221" s="408">
        <f>V222*F221</f>
        <v>0</v>
      </c>
      <c r="AB221" s="408">
        <f t="shared" ref="AB221:AJ221" si="106">W222*G221</f>
        <v>0</v>
      </c>
      <c r="AC221" s="408">
        <f t="shared" si="106"/>
        <v>0</v>
      </c>
      <c r="AD221" s="408">
        <f t="shared" si="106"/>
        <v>0</v>
      </c>
      <c r="AE221" s="408">
        <f t="shared" si="106"/>
        <v>0</v>
      </c>
      <c r="AF221" s="408">
        <f t="shared" si="106"/>
        <v>0</v>
      </c>
      <c r="AG221" s="408">
        <f t="shared" si="106"/>
        <v>0</v>
      </c>
      <c r="AH221" s="408">
        <f t="shared" si="106"/>
        <v>0</v>
      </c>
      <c r="AI221" s="408">
        <f t="shared" si="106"/>
        <v>0</v>
      </c>
      <c r="AJ221" s="408">
        <f t="shared" si="106"/>
        <v>0</v>
      </c>
      <c r="AK221" s="408">
        <f t="shared" si="105"/>
        <v>0</v>
      </c>
      <c r="AL221" s="408">
        <f>AG222*Q221</f>
        <v>0</v>
      </c>
      <c r="AM221" s="408">
        <f>AH222*R221</f>
        <v>0</v>
      </c>
      <c r="AN221" s="408">
        <f>AI222*S221</f>
        <v>0</v>
      </c>
      <c r="AO221" s="408">
        <f>AJ222*T221</f>
        <v>0</v>
      </c>
    </row>
    <row r="222" spans="1:41" s="408" customFormat="1" ht="15.75" x14ac:dyDescent="0.2">
      <c r="A222" s="371">
        <v>73</v>
      </c>
      <c r="B222" s="481" t="s">
        <v>270</v>
      </c>
      <c r="C222" s="456" t="s">
        <v>289</v>
      </c>
      <c r="D222" s="450"/>
      <c r="E222" s="373"/>
      <c r="F222" s="373"/>
      <c r="G222" s="373"/>
      <c r="H222" s="373"/>
      <c r="I222" s="373"/>
      <c r="J222" s="373"/>
      <c r="K222" s="373"/>
      <c r="L222" s="373"/>
      <c r="M222" s="373"/>
      <c r="N222" s="373"/>
      <c r="O222" s="373"/>
      <c r="P222" s="373"/>
      <c r="Q222" s="373"/>
      <c r="R222" s="373"/>
      <c r="S222" s="373"/>
      <c r="T222" s="373"/>
      <c r="U222" s="374"/>
      <c r="V222" s="374"/>
      <c r="W222" s="374"/>
      <c r="X222" s="375"/>
      <c r="Y222" s="376"/>
      <c r="Z222" s="408">
        <f t="shared" ref="Z222:Z233" si="107">V222*E222</f>
        <v>0</v>
      </c>
      <c r="AA222" s="408">
        <f t="shared" ref="AA222:AA233" si="108">V222*F222</f>
        <v>0</v>
      </c>
      <c r="AB222" s="408">
        <f t="shared" ref="AB222:AB233" si="109">V222*G222</f>
        <v>0</v>
      </c>
      <c r="AC222" s="408">
        <f t="shared" ref="AC222:AC233" si="110">V222*H222</f>
        <v>0</v>
      </c>
      <c r="AD222" s="408">
        <f t="shared" ref="AD222:AD233" si="111">V222*I222</f>
        <v>0</v>
      </c>
      <c r="AE222" s="408">
        <f t="shared" ref="AE222:AE233" si="112">V222*J222</f>
        <v>0</v>
      </c>
      <c r="AF222" s="408">
        <f t="shared" ref="AF222:AF233" si="113">V222*K222</f>
        <v>0</v>
      </c>
      <c r="AG222" s="408">
        <f t="shared" ref="AG222:AG233" si="114">V222*L222</f>
        <v>0</v>
      </c>
      <c r="AH222" s="408">
        <f t="shared" ref="AH222:AH233" si="115">V222*M222</f>
        <v>0</v>
      </c>
      <c r="AI222" s="408">
        <f t="shared" ref="AI222:AI233" si="116">V222*N222</f>
        <v>0</v>
      </c>
      <c r="AJ222" s="408">
        <f t="shared" ref="AJ222:AJ233" si="117">V222*O222</f>
        <v>0</v>
      </c>
      <c r="AK222" s="408">
        <f t="shared" si="105"/>
        <v>0</v>
      </c>
      <c r="AL222" s="408">
        <f t="shared" ref="AL222:AL233" si="118">V222*Q222</f>
        <v>0</v>
      </c>
      <c r="AM222" s="408">
        <f t="shared" ref="AM222:AM233" si="119">V222*R222</f>
        <v>0</v>
      </c>
      <c r="AN222" s="408">
        <f t="shared" ref="AN222:AN233" si="120">V222*S222</f>
        <v>0</v>
      </c>
      <c r="AO222" s="408">
        <f t="shared" ref="AO222:AO233" si="121">V222*T222</f>
        <v>0</v>
      </c>
    </row>
    <row r="223" spans="1:41" s="408" customFormat="1" ht="15.75" x14ac:dyDescent="0.2">
      <c r="A223" s="371"/>
      <c r="B223" s="474" t="s">
        <v>178</v>
      </c>
      <c r="C223" s="456" t="s">
        <v>290</v>
      </c>
      <c r="D223" s="450" t="s">
        <v>180</v>
      </c>
      <c r="E223" s="373">
        <f>'allied infrastructre finishig w'!H47</f>
        <v>50</v>
      </c>
      <c r="F223" s="373"/>
      <c r="G223" s="373"/>
      <c r="H223" s="373"/>
      <c r="I223" s="373"/>
      <c r="J223" s="373"/>
      <c r="K223" s="373"/>
      <c r="L223" s="373"/>
      <c r="M223" s="373"/>
      <c r="N223" s="373"/>
      <c r="O223" s="373"/>
      <c r="P223" s="373"/>
      <c r="Q223" s="373"/>
      <c r="R223" s="373"/>
      <c r="S223" s="373"/>
      <c r="T223" s="373"/>
      <c r="U223" s="374">
        <f t="shared" ref="U223:U232" si="122">SUM(E223:T223)</f>
        <v>50</v>
      </c>
      <c r="V223" s="484">
        <v>784</v>
      </c>
      <c r="W223" s="374">
        <f t="shared" ref="W223:W232" si="123">U223*V223</f>
        <v>39200</v>
      </c>
      <c r="X223" s="375"/>
      <c r="Y223" s="376"/>
      <c r="Z223" s="408">
        <f t="shared" si="107"/>
        <v>39200</v>
      </c>
      <c r="AA223" s="408">
        <f t="shared" si="108"/>
        <v>0</v>
      </c>
      <c r="AB223" s="408">
        <f t="shared" si="109"/>
        <v>0</v>
      </c>
      <c r="AC223" s="408">
        <f t="shared" si="110"/>
        <v>0</v>
      </c>
      <c r="AD223" s="408">
        <f t="shared" si="111"/>
        <v>0</v>
      </c>
      <c r="AE223" s="408">
        <f t="shared" si="112"/>
        <v>0</v>
      </c>
      <c r="AF223" s="408">
        <f t="shared" si="113"/>
        <v>0</v>
      </c>
      <c r="AG223" s="408">
        <f t="shared" si="114"/>
        <v>0</v>
      </c>
      <c r="AH223" s="408">
        <f t="shared" si="115"/>
        <v>0</v>
      </c>
      <c r="AI223" s="408">
        <f t="shared" si="116"/>
        <v>0</v>
      </c>
      <c r="AJ223" s="408">
        <f t="shared" si="117"/>
        <v>0</v>
      </c>
      <c r="AK223" s="408">
        <f t="shared" si="105"/>
        <v>0</v>
      </c>
      <c r="AL223" s="408">
        <f t="shared" si="118"/>
        <v>0</v>
      </c>
      <c r="AM223" s="408">
        <f t="shared" si="119"/>
        <v>0</v>
      </c>
      <c r="AN223" s="408">
        <f t="shared" si="120"/>
        <v>0</v>
      </c>
      <c r="AO223" s="408">
        <f t="shared" si="121"/>
        <v>0</v>
      </c>
    </row>
    <row r="224" spans="1:41" s="408" customFormat="1" ht="15.75" x14ac:dyDescent="0.2">
      <c r="A224" s="371"/>
      <c r="B224" s="474" t="s">
        <v>291</v>
      </c>
      <c r="C224" s="456" t="s">
        <v>292</v>
      </c>
      <c r="D224" s="450" t="s">
        <v>180</v>
      </c>
      <c r="E224" s="373">
        <f>'allied infrastructre finishig w'!H48</f>
        <v>60</v>
      </c>
      <c r="F224" s="373"/>
      <c r="G224" s="373"/>
      <c r="H224" s="373"/>
      <c r="I224" s="373"/>
      <c r="J224" s="373"/>
      <c r="K224" s="373"/>
      <c r="L224" s="373"/>
      <c r="M224" s="373"/>
      <c r="N224" s="373"/>
      <c r="O224" s="373"/>
      <c r="P224" s="373"/>
      <c r="Q224" s="373"/>
      <c r="R224" s="373"/>
      <c r="S224" s="373"/>
      <c r="T224" s="373"/>
      <c r="U224" s="374">
        <f t="shared" si="122"/>
        <v>60</v>
      </c>
      <c r="V224" s="484">
        <v>700</v>
      </c>
      <c r="W224" s="374">
        <f t="shared" si="123"/>
        <v>42000</v>
      </c>
      <c r="X224" s="375"/>
      <c r="Y224" s="376"/>
      <c r="Z224" s="408">
        <f t="shared" si="107"/>
        <v>42000</v>
      </c>
      <c r="AA224" s="408">
        <f t="shared" si="108"/>
        <v>0</v>
      </c>
      <c r="AB224" s="408">
        <f t="shared" si="109"/>
        <v>0</v>
      </c>
      <c r="AC224" s="408">
        <f t="shared" si="110"/>
        <v>0</v>
      </c>
      <c r="AD224" s="408">
        <f t="shared" si="111"/>
        <v>0</v>
      </c>
      <c r="AE224" s="408">
        <f t="shared" si="112"/>
        <v>0</v>
      </c>
      <c r="AF224" s="408">
        <f t="shared" si="113"/>
        <v>0</v>
      </c>
      <c r="AG224" s="408">
        <f t="shared" si="114"/>
        <v>0</v>
      </c>
      <c r="AH224" s="408">
        <f t="shared" si="115"/>
        <v>0</v>
      </c>
      <c r="AI224" s="408">
        <f t="shared" si="116"/>
        <v>0</v>
      </c>
      <c r="AJ224" s="408">
        <f t="shared" si="117"/>
        <v>0</v>
      </c>
      <c r="AK224" s="408">
        <f t="shared" si="105"/>
        <v>0</v>
      </c>
      <c r="AL224" s="408">
        <f t="shared" si="118"/>
        <v>0</v>
      </c>
      <c r="AM224" s="408">
        <f t="shared" si="119"/>
        <v>0</v>
      </c>
      <c r="AN224" s="408">
        <f t="shared" si="120"/>
        <v>0</v>
      </c>
      <c r="AO224" s="408">
        <f t="shared" si="121"/>
        <v>0</v>
      </c>
    </row>
    <row r="225" spans="1:41" s="408" customFormat="1" ht="15.75" x14ac:dyDescent="0.2">
      <c r="A225" s="371"/>
      <c r="B225" s="474" t="s">
        <v>183</v>
      </c>
      <c r="C225" s="456" t="s">
        <v>293</v>
      </c>
      <c r="D225" s="450" t="s">
        <v>180</v>
      </c>
      <c r="E225" s="373">
        <f>'allied infrastructre finishig w'!H49</f>
        <v>40</v>
      </c>
      <c r="F225" s="373"/>
      <c r="G225" s="373"/>
      <c r="H225" s="373"/>
      <c r="I225" s="373"/>
      <c r="J225" s="373"/>
      <c r="K225" s="373"/>
      <c r="L225" s="373"/>
      <c r="M225" s="373"/>
      <c r="N225" s="373"/>
      <c r="O225" s="373"/>
      <c r="P225" s="373"/>
      <c r="Q225" s="373"/>
      <c r="R225" s="373"/>
      <c r="S225" s="373"/>
      <c r="T225" s="373"/>
      <c r="U225" s="374">
        <f t="shared" si="122"/>
        <v>40</v>
      </c>
      <c r="V225" s="484">
        <v>656</v>
      </c>
      <c r="W225" s="374">
        <f t="shared" si="123"/>
        <v>26240</v>
      </c>
      <c r="X225" s="375"/>
      <c r="Y225" s="376"/>
      <c r="Z225" s="408">
        <f t="shared" si="107"/>
        <v>26240</v>
      </c>
      <c r="AA225" s="408">
        <f t="shared" si="108"/>
        <v>0</v>
      </c>
      <c r="AB225" s="408">
        <f t="shared" si="109"/>
        <v>0</v>
      </c>
      <c r="AC225" s="408">
        <f t="shared" si="110"/>
        <v>0</v>
      </c>
      <c r="AD225" s="408">
        <f t="shared" si="111"/>
        <v>0</v>
      </c>
      <c r="AE225" s="408">
        <f t="shared" si="112"/>
        <v>0</v>
      </c>
      <c r="AF225" s="408">
        <f t="shared" si="113"/>
        <v>0</v>
      </c>
      <c r="AG225" s="408">
        <f t="shared" si="114"/>
        <v>0</v>
      </c>
      <c r="AH225" s="408">
        <f t="shared" si="115"/>
        <v>0</v>
      </c>
      <c r="AI225" s="408">
        <f t="shared" si="116"/>
        <v>0</v>
      </c>
      <c r="AJ225" s="408">
        <f t="shared" si="117"/>
        <v>0</v>
      </c>
      <c r="AK225" s="408">
        <f t="shared" si="105"/>
        <v>0</v>
      </c>
      <c r="AL225" s="408">
        <f t="shared" si="118"/>
        <v>0</v>
      </c>
      <c r="AM225" s="408">
        <f t="shared" si="119"/>
        <v>0</v>
      </c>
      <c r="AN225" s="408">
        <f t="shared" si="120"/>
        <v>0</v>
      </c>
      <c r="AO225" s="408">
        <f t="shared" si="121"/>
        <v>0</v>
      </c>
    </row>
    <row r="226" spans="1:41" s="408" customFormat="1" ht="15.75" x14ac:dyDescent="0.2">
      <c r="A226" s="371"/>
      <c r="B226" s="474" t="s">
        <v>185</v>
      </c>
      <c r="C226" s="456" t="s">
        <v>294</v>
      </c>
      <c r="D226" s="450" t="s">
        <v>180</v>
      </c>
      <c r="E226" s="373">
        <f>'allied infrastructre finishig w'!H50</f>
        <v>50</v>
      </c>
      <c r="F226" s="373"/>
      <c r="G226" s="373"/>
      <c r="H226" s="373"/>
      <c r="I226" s="373"/>
      <c r="J226" s="373"/>
      <c r="K226" s="373"/>
      <c r="L226" s="373"/>
      <c r="M226" s="373"/>
      <c r="N226" s="373"/>
      <c r="O226" s="373"/>
      <c r="P226" s="373"/>
      <c r="Q226" s="373"/>
      <c r="R226" s="373"/>
      <c r="S226" s="373"/>
      <c r="T226" s="373"/>
      <c r="U226" s="374">
        <f t="shared" si="122"/>
        <v>50</v>
      </c>
      <c r="V226" s="484">
        <v>527</v>
      </c>
      <c r="W226" s="374">
        <f t="shared" si="123"/>
        <v>26350</v>
      </c>
      <c r="X226" s="375"/>
      <c r="Y226" s="376"/>
      <c r="Z226" s="408">
        <f t="shared" si="107"/>
        <v>26350</v>
      </c>
      <c r="AA226" s="408">
        <f t="shared" si="108"/>
        <v>0</v>
      </c>
      <c r="AB226" s="408">
        <f t="shared" si="109"/>
        <v>0</v>
      </c>
      <c r="AC226" s="408">
        <f t="shared" si="110"/>
        <v>0</v>
      </c>
      <c r="AD226" s="408">
        <f t="shared" si="111"/>
        <v>0</v>
      </c>
      <c r="AE226" s="408">
        <f t="shared" si="112"/>
        <v>0</v>
      </c>
      <c r="AF226" s="408">
        <f t="shared" si="113"/>
        <v>0</v>
      </c>
      <c r="AG226" s="408">
        <f t="shared" si="114"/>
        <v>0</v>
      </c>
      <c r="AH226" s="408">
        <f t="shared" si="115"/>
        <v>0</v>
      </c>
      <c r="AI226" s="408">
        <f t="shared" si="116"/>
        <v>0</v>
      </c>
      <c r="AJ226" s="408">
        <f t="shared" si="117"/>
        <v>0</v>
      </c>
      <c r="AK226" s="408">
        <f t="shared" si="105"/>
        <v>0</v>
      </c>
      <c r="AL226" s="408">
        <f t="shared" si="118"/>
        <v>0</v>
      </c>
      <c r="AM226" s="408">
        <f t="shared" si="119"/>
        <v>0</v>
      </c>
      <c r="AN226" s="408">
        <f t="shared" si="120"/>
        <v>0</v>
      </c>
      <c r="AO226" s="408">
        <f t="shared" si="121"/>
        <v>0</v>
      </c>
    </row>
    <row r="227" spans="1:41" s="408" customFormat="1" ht="15.75" x14ac:dyDescent="0.2">
      <c r="A227" s="371"/>
      <c r="B227" s="474" t="s">
        <v>187</v>
      </c>
      <c r="C227" s="456" t="s">
        <v>295</v>
      </c>
      <c r="D227" s="450" t="s">
        <v>180</v>
      </c>
      <c r="E227" s="373">
        <f>'allied infrastructre finishig w'!H51</f>
        <v>60</v>
      </c>
      <c r="F227" s="373"/>
      <c r="G227" s="373"/>
      <c r="H227" s="373"/>
      <c r="I227" s="373"/>
      <c r="J227" s="373"/>
      <c r="K227" s="373"/>
      <c r="L227" s="373"/>
      <c r="M227" s="373"/>
      <c r="N227" s="373"/>
      <c r="O227" s="373"/>
      <c r="P227" s="373"/>
      <c r="Q227" s="373"/>
      <c r="R227" s="373"/>
      <c r="S227" s="373"/>
      <c r="T227" s="373"/>
      <c r="U227" s="374">
        <f t="shared" si="122"/>
        <v>60</v>
      </c>
      <c r="V227" s="484">
        <v>444</v>
      </c>
      <c r="W227" s="374">
        <f t="shared" si="123"/>
        <v>26640</v>
      </c>
      <c r="X227" s="375"/>
      <c r="Y227" s="376"/>
      <c r="Z227" s="408">
        <f t="shared" si="107"/>
        <v>26640</v>
      </c>
      <c r="AA227" s="408">
        <f t="shared" si="108"/>
        <v>0</v>
      </c>
      <c r="AB227" s="408">
        <f t="shared" si="109"/>
        <v>0</v>
      </c>
      <c r="AC227" s="408">
        <f t="shared" si="110"/>
        <v>0</v>
      </c>
      <c r="AD227" s="408">
        <f t="shared" si="111"/>
        <v>0</v>
      </c>
      <c r="AE227" s="408">
        <f t="shared" si="112"/>
        <v>0</v>
      </c>
      <c r="AF227" s="408">
        <f t="shared" si="113"/>
        <v>0</v>
      </c>
      <c r="AG227" s="408">
        <f t="shared" si="114"/>
        <v>0</v>
      </c>
      <c r="AH227" s="408">
        <f t="shared" si="115"/>
        <v>0</v>
      </c>
      <c r="AI227" s="408">
        <f t="shared" si="116"/>
        <v>0</v>
      </c>
      <c r="AJ227" s="408">
        <f t="shared" si="117"/>
        <v>0</v>
      </c>
      <c r="AK227" s="408">
        <f t="shared" si="105"/>
        <v>0</v>
      </c>
      <c r="AL227" s="408">
        <f t="shared" si="118"/>
        <v>0</v>
      </c>
      <c r="AM227" s="408">
        <f t="shared" si="119"/>
        <v>0</v>
      </c>
      <c r="AN227" s="408">
        <f t="shared" si="120"/>
        <v>0</v>
      </c>
      <c r="AO227" s="408">
        <f t="shared" si="121"/>
        <v>0</v>
      </c>
    </row>
    <row r="228" spans="1:41" s="408" customFormat="1" ht="15.75" x14ac:dyDescent="0.2">
      <c r="A228" s="371"/>
      <c r="B228" s="474" t="s">
        <v>189</v>
      </c>
      <c r="C228" s="456" t="s">
        <v>296</v>
      </c>
      <c r="D228" s="450" t="s">
        <v>180</v>
      </c>
      <c r="E228" s="373">
        <f>'allied infrastructre finishig w'!H52</f>
        <v>30</v>
      </c>
      <c r="F228" s="373"/>
      <c r="G228" s="373"/>
      <c r="H228" s="373"/>
      <c r="I228" s="373"/>
      <c r="J228" s="373"/>
      <c r="K228" s="373"/>
      <c r="L228" s="373"/>
      <c r="M228" s="373"/>
      <c r="N228" s="373"/>
      <c r="O228" s="373"/>
      <c r="P228" s="373"/>
      <c r="Q228" s="373"/>
      <c r="R228" s="373"/>
      <c r="S228" s="373"/>
      <c r="T228" s="373"/>
      <c r="U228" s="374">
        <f t="shared" si="122"/>
        <v>30</v>
      </c>
      <c r="V228" s="484">
        <v>370</v>
      </c>
      <c r="W228" s="374">
        <f t="shared" si="123"/>
        <v>11100</v>
      </c>
      <c r="X228" s="375"/>
      <c r="Y228" s="376"/>
      <c r="Z228" s="408">
        <f t="shared" si="107"/>
        <v>11100</v>
      </c>
      <c r="AA228" s="408">
        <f t="shared" si="108"/>
        <v>0</v>
      </c>
      <c r="AB228" s="408">
        <f t="shared" si="109"/>
        <v>0</v>
      </c>
      <c r="AC228" s="408">
        <f t="shared" si="110"/>
        <v>0</v>
      </c>
      <c r="AD228" s="408">
        <f t="shared" si="111"/>
        <v>0</v>
      </c>
      <c r="AE228" s="408">
        <f t="shared" si="112"/>
        <v>0</v>
      </c>
      <c r="AF228" s="408">
        <f t="shared" si="113"/>
        <v>0</v>
      </c>
      <c r="AG228" s="408">
        <f t="shared" si="114"/>
        <v>0</v>
      </c>
      <c r="AH228" s="408">
        <f t="shared" si="115"/>
        <v>0</v>
      </c>
      <c r="AI228" s="408">
        <f t="shared" si="116"/>
        <v>0</v>
      </c>
      <c r="AJ228" s="408">
        <f t="shared" si="117"/>
        <v>0</v>
      </c>
      <c r="AK228" s="408">
        <f t="shared" si="105"/>
        <v>0</v>
      </c>
      <c r="AL228" s="408">
        <f t="shared" si="118"/>
        <v>0</v>
      </c>
      <c r="AM228" s="408">
        <f t="shared" si="119"/>
        <v>0</v>
      </c>
      <c r="AN228" s="408">
        <f t="shared" si="120"/>
        <v>0</v>
      </c>
      <c r="AO228" s="408">
        <f t="shared" si="121"/>
        <v>0</v>
      </c>
    </row>
    <row r="229" spans="1:41" s="408" customFormat="1" ht="15.75" x14ac:dyDescent="0.25">
      <c r="A229" s="371"/>
      <c r="B229" s="451"/>
      <c r="C229" s="452"/>
      <c r="D229" s="452"/>
      <c r="E229" s="373"/>
      <c r="F229" s="373"/>
      <c r="G229" s="373"/>
      <c r="H229" s="373"/>
      <c r="I229" s="373"/>
      <c r="J229" s="373"/>
      <c r="K229" s="373"/>
      <c r="L229" s="373"/>
      <c r="M229" s="373"/>
      <c r="N229" s="373"/>
      <c r="O229" s="373"/>
      <c r="P229" s="373"/>
      <c r="Q229" s="373"/>
      <c r="R229" s="373"/>
      <c r="S229" s="373"/>
      <c r="T229" s="373"/>
      <c r="U229" s="374">
        <f t="shared" si="122"/>
        <v>0</v>
      </c>
      <c r="V229" s="374"/>
      <c r="W229" s="374">
        <f t="shared" si="123"/>
        <v>0</v>
      </c>
      <c r="X229" s="375"/>
      <c r="Y229" s="376"/>
      <c r="Z229" s="408">
        <f t="shared" si="107"/>
        <v>0</v>
      </c>
      <c r="AA229" s="408">
        <f t="shared" si="108"/>
        <v>0</v>
      </c>
      <c r="AB229" s="408">
        <f t="shared" si="109"/>
        <v>0</v>
      </c>
      <c r="AC229" s="408">
        <f t="shared" si="110"/>
        <v>0</v>
      </c>
      <c r="AD229" s="408">
        <f t="shared" si="111"/>
        <v>0</v>
      </c>
      <c r="AE229" s="408">
        <f t="shared" si="112"/>
        <v>0</v>
      </c>
      <c r="AF229" s="408">
        <f t="shared" si="113"/>
        <v>0</v>
      </c>
      <c r="AG229" s="408">
        <f t="shared" si="114"/>
        <v>0</v>
      </c>
      <c r="AH229" s="408">
        <f t="shared" si="115"/>
        <v>0</v>
      </c>
      <c r="AI229" s="408">
        <f t="shared" si="116"/>
        <v>0</v>
      </c>
      <c r="AJ229" s="408">
        <f t="shared" si="117"/>
        <v>0</v>
      </c>
      <c r="AK229" s="408">
        <f t="shared" si="105"/>
        <v>0</v>
      </c>
      <c r="AL229" s="408">
        <f t="shared" si="118"/>
        <v>0</v>
      </c>
      <c r="AM229" s="408">
        <f t="shared" si="119"/>
        <v>0</v>
      </c>
      <c r="AN229" s="408">
        <f t="shared" si="120"/>
        <v>0</v>
      </c>
      <c r="AO229" s="408">
        <f t="shared" si="121"/>
        <v>0</v>
      </c>
    </row>
    <row r="230" spans="1:41" s="408" customFormat="1" ht="15.75" x14ac:dyDescent="0.2">
      <c r="A230" s="371">
        <v>74</v>
      </c>
      <c r="B230" s="481" t="s">
        <v>270</v>
      </c>
      <c r="C230" s="456" t="s">
        <v>297</v>
      </c>
      <c r="D230" s="485" t="s">
        <v>180</v>
      </c>
      <c r="E230" s="373">
        <f>'allied infrastructre finishig w'!H53</f>
        <v>500</v>
      </c>
      <c r="F230" s="373"/>
      <c r="G230" s="373"/>
      <c r="H230" s="373"/>
      <c r="I230" s="373"/>
      <c r="J230" s="373"/>
      <c r="K230" s="373"/>
      <c r="L230" s="373"/>
      <c r="M230" s="373"/>
      <c r="N230" s="373"/>
      <c r="O230" s="373"/>
      <c r="P230" s="373"/>
      <c r="Q230" s="373"/>
      <c r="R230" s="373"/>
      <c r="S230" s="373"/>
      <c r="T230" s="373"/>
      <c r="U230" s="374">
        <f t="shared" si="122"/>
        <v>500</v>
      </c>
      <c r="V230" s="374">
        <v>296</v>
      </c>
      <c r="W230" s="374">
        <f t="shared" si="123"/>
        <v>148000</v>
      </c>
      <c r="X230" s="375"/>
      <c r="Y230" s="376"/>
      <c r="Z230" s="408">
        <f t="shared" si="107"/>
        <v>148000</v>
      </c>
      <c r="AA230" s="408">
        <f t="shared" si="108"/>
        <v>0</v>
      </c>
      <c r="AB230" s="408">
        <f t="shared" si="109"/>
        <v>0</v>
      </c>
      <c r="AC230" s="408">
        <f t="shared" si="110"/>
        <v>0</v>
      </c>
      <c r="AD230" s="408">
        <f t="shared" si="111"/>
        <v>0</v>
      </c>
      <c r="AE230" s="408">
        <f t="shared" si="112"/>
        <v>0</v>
      </c>
      <c r="AF230" s="408">
        <f t="shared" si="113"/>
        <v>0</v>
      </c>
      <c r="AG230" s="408">
        <f t="shared" si="114"/>
        <v>0</v>
      </c>
      <c r="AH230" s="408">
        <f t="shared" si="115"/>
        <v>0</v>
      </c>
      <c r="AI230" s="408">
        <f t="shared" si="116"/>
        <v>0</v>
      </c>
      <c r="AJ230" s="408">
        <f t="shared" si="117"/>
        <v>0</v>
      </c>
      <c r="AK230" s="408">
        <f t="shared" si="105"/>
        <v>0</v>
      </c>
      <c r="AL230" s="408">
        <f t="shared" si="118"/>
        <v>0</v>
      </c>
      <c r="AM230" s="408">
        <f t="shared" si="119"/>
        <v>0</v>
      </c>
      <c r="AN230" s="408">
        <f t="shared" si="120"/>
        <v>0</v>
      </c>
      <c r="AO230" s="408">
        <f t="shared" si="121"/>
        <v>0</v>
      </c>
    </row>
    <row r="231" spans="1:41" s="408" customFormat="1" ht="31.5" x14ac:dyDescent="0.2">
      <c r="A231" s="371">
        <v>75</v>
      </c>
      <c r="B231" s="481" t="s">
        <v>270</v>
      </c>
      <c r="C231" s="456" t="s">
        <v>298</v>
      </c>
      <c r="D231" s="486" t="s">
        <v>246</v>
      </c>
      <c r="E231" s="373">
        <f>'allied infrastructre finishig w'!H54</f>
        <v>291</v>
      </c>
      <c r="F231" s="373"/>
      <c r="G231" s="373"/>
      <c r="H231" s="373"/>
      <c r="I231" s="373"/>
      <c r="J231" s="373"/>
      <c r="K231" s="373"/>
      <c r="L231" s="373"/>
      <c r="M231" s="373"/>
      <c r="N231" s="373"/>
      <c r="O231" s="373"/>
      <c r="P231" s="373"/>
      <c r="Q231" s="373"/>
      <c r="R231" s="373"/>
      <c r="S231" s="373"/>
      <c r="T231" s="373"/>
      <c r="U231" s="374">
        <f t="shared" si="122"/>
        <v>291</v>
      </c>
      <c r="V231" s="374">
        <v>3100</v>
      </c>
      <c r="W231" s="374">
        <f t="shared" si="123"/>
        <v>902100</v>
      </c>
      <c r="X231" s="375"/>
      <c r="Y231" s="376"/>
      <c r="Z231" s="408">
        <f t="shared" si="107"/>
        <v>902100</v>
      </c>
      <c r="AA231" s="408">
        <f t="shared" si="108"/>
        <v>0</v>
      </c>
      <c r="AB231" s="408">
        <f t="shared" si="109"/>
        <v>0</v>
      </c>
      <c r="AC231" s="408">
        <f t="shared" si="110"/>
        <v>0</v>
      </c>
      <c r="AD231" s="408">
        <f t="shared" si="111"/>
        <v>0</v>
      </c>
      <c r="AE231" s="408">
        <f t="shared" si="112"/>
        <v>0</v>
      </c>
      <c r="AF231" s="408">
        <f t="shared" si="113"/>
        <v>0</v>
      </c>
      <c r="AG231" s="408">
        <f t="shared" si="114"/>
        <v>0</v>
      </c>
      <c r="AH231" s="408">
        <f t="shared" si="115"/>
        <v>0</v>
      </c>
      <c r="AI231" s="408">
        <f t="shared" si="116"/>
        <v>0</v>
      </c>
      <c r="AJ231" s="408">
        <f t="shared" si="117"/>
        <v>0</v>
      </c>
      <c r="AK231" s="408">
        <f t="shared" si="105"/>
        <v>0</v>
      </c>
      <c r="AL231" s="408">
        <f t="shared" si="118"/>
        <v>0</v>
      </c>
      <c r="AM231" s="408">
        <f t="shared" si="119"/>
        <v>0</v>
      </c>
      <c r="AN231" s="408">
        <f t="shared" si="120"/>
        <v>0</v>
      </c>
      <c r="AO231" s="408">
        <f t="shared" si="121"/>
        <v>0</v>
      </c>
    </row>
    <row r="232" spans="1:41" s="408" customFormat="1" ht="31.5" x14ac:dyDescent="0.2">
      <c r="A232" s="371">
        <v>76</v>
      </c>
      <c r="B232" s="481" t="s">
        <v>270</v>
      </c>
      <c r="C232" s="456" t="s">
        <v>299</v>
      </c>
      <c r="D232" s="485" t="s">
        <v>180</v>
      </c>
      <c r="E232" s="373">
        <f>'allied infrastructre finishig w'!H55</f>
        <v>8</v>
      </c>
      <c r="F232" s="373"/>
      <c r="G232" s="373"/>
      <c r="H232" s="373"/>
      <c r="I232" s="373"/>
      <c r="J232" s="373"/>
      <c r="K232" s="373"/>
      <c r="L232" s="373"/>
      <c r="M232" s="373"/>
      <c r="N232" s="373"/>
      <c r="O232" s="373"/>
      <c r="P232" s="373"/>
      <c r="Q232" s="373"/>
      <c r="R232" s="373"/>
      <c r="S232" s="373"/>
      <c r="T232" s="373"/>
      <c r="U232" s="374">
        <f t="shared" si="122"/>
        <v>8</v>
      </c>
      <c r="V232" s="374">
        <v>4000</v>
      </c>
      <c r="W232" s="374">
        <f t="shared" si="123"/>
        <v>32000</v>
      </c>
      <c r="X232" s="375"/>
      <c r="Y232" s="376"/>
      <c r="Z232" s="408">
        <f t="shared" si="107"/>
        <v>32000</v>
      </c>
      <c r="AA232" s="408">
        <f t="shared" si="108"/>
        <v>0</v>
      </c>
      <c r="AB232" s="408">
        <f t="shared" si="109"/>
        <v>0</v>
      </c>
      <c r="AC232" s="408">
        <f t="shared" si="110"/>
        <v>0</v>
      </c>
      <c r="AD232" s="408">
        <f t="shared" si="111"/>
        <v>0</v>
      </c>
      <c r="AE232" s="408">
        <f t="shared" si="112"/>
        <v>0</v>
      </c>
      <c r="AF232" s="408">
        <f t="shared" si="113"/>
        <v>0</v>
      </c>
      <c r="AG232" s="408">
        <f t="shared" si="114"/>
        <v>0</v>
      </c>
      <c r="AH232" s="408">
        <f t="shared" si="115"/>
        <v>0</v>
      </c>
      <c r="AI232" s="408">
        <f t="shared" si="116"/>
        <v>0</v>
      </c>
      <c r="AJ232" s="408">
        <f t="shared" si="117"/>
        <v>0</v>
      </c>
      <c r="AK232" s="408">
        <f t="shared" si="105"/>
        <v>0</v>
      </c>
      <c r="AL232" s="408">
        <f t="shared" si="118"/>
        <v>0</v>
      </c>
      <c r="AM232" s="408">
        <f t="shared" si="119"/>
        <v>0</v>
      </c>
      <c r="AN232" s="408">
        <f t="shared" si="120"/>
        <v>0</v>
      </c>
      <c r="AO232" s="408">
        <f t="shared" si="121"/>
        <v>0</v>
      </c>
    </row>
    <row r="233" spans="1:41" ht="20.25" x14ac:dyDescent="0.25">
      <c r="A233" s="487"/>
      <c r="B233" s="488"/>
      <c r="C233" s="489"/>
      <c r="D233" s="489"/>
      <c r="E233" s="490"/>
      <c r="F233" s="490"/>
      <c r="G233" s="490"/>
      <c r="H233" s="490"/>
      <c r="I233" s="490"/>
      <c r="J233" s="490"/>
      <c r="K233" s="490"/>
      <c r="L233" s="490"/>
      <c r="M233" s="490"/>
      <c r="N233" s="490"/>
      <c r="O233" s="490"/>
      <c r="P233" s="490"/>
      <c r="Q233" s="490"/>
      <c r="R233" s="490"/>
      <c r="S233" s="490"/>
      <c r="T233" s="490"/>
      <c r="U233" s="491"/>
      <c r="V233" s="491"/>
      <c r="W233" s="491"/>
      <c r="X233" s="490"/>
      <c r="Y233" s="492"/>
      <c r="Z233" s="377">
        <f t="shared" si="107"/>
        <v>0</v>
      </c>
      <c r="AA233" s="377">
        <f t="shared" si="108"/>
        <v>0</v>
      </c>
      <c r="AB233" s="377">
        <f t="shared" si="109"/>
        <v>0</v>
      </c>
      <c r="AC233" s="377">
        <f t="shared" si="110"/>
        <v>0</v>
      </c>
      <c r="AD233" s="377">
        <f t="shared" si="111"/>
        <v>0</v>
      </c>
      <c r="AE233" s="377">
        <f t="shared" si="112"/>
        <v>0</v>
      </c>
      <c r="AF233" s="377">
        <f t="shared" si="113"/>
        <v>0</v>
      </c>
      <c r="AG233" s="377">
        <f t="shared" si="114"/>
        <v>0</v>
      </c>
      <c r="AH233" s="377">
        <f t="shared" si="115"/>
        <v>0</v>
      </c>
      <c r="AI233" s="377">
        <f t="shared" si="116"/>
        <v>0</v>
      </c>
      <c r="AJ233" s="377">
        <f t="shared" si="117"/>
        <v>0</v>
      </c>
      <c r="AK233" s="377">
        <f t="shared" si="105"/>
        <v>0</v>
      </c>
      <c r="AL233" s="377">
        <f t="shared" si="118"/>
        <v>0</v>
      </c>
      <c r="AM233" s="377">
        <f t="shared" si="119"/>
        <v>0</v>
      </c>
      <c r="AN233" s="377">
        <f t="shared" si="120"/>
        <v>0</v>
      </c>
      <c r="AO233" s="377">
        <f t="shared" si="121"/>
        <v>0</v>
      </c>
    </row>
    <row r="234" spans="1:41" ht="20.25" x14ac:dyDescent="0.2">
      <c r="A234" s="487"/>
      <c r="B234" s="488"/>
      <c r="C234" s="489"/>
      <c r="D234" s="489"/>
      <c r="E234" s="490"/>
      <c r="F234" s="490"/>
      <c r="G234" s="490"/>
      <c r="H234" s="490"/>
      <c r="I234" s="490"/>
      <c r="J234" s="490"/>
      <c r="K234" s="490"/>
      <c r="L234" s="490"/>
      <c r="M234" s="490"/>
      <c r="N234" s="490"/>
      <c r="O234" s="490"/>
      <c r="P234" s="490"/>
      <c r="Q234" s="490"/>
      <c r="R234" s="505" t="s">
        <v>300</v>
      </c>
      <c r="S234" s="506"/>
      <c r="T234" s="506"/>
      <c r="U234" s="506"/>
      <c r="V234" s="507"/>
      <c r="W234" s="493">
        <f>SUM(W7:W233)</f>
        <v>109975091.37937489</v>
      </c>
      <c r="X234" s="490"/>
      <c r="Y234" s="492"/>
      <c r="Z234" s="494">
        <f>SUM(Z13:Z233)</f>
        <v>27721253.8825</v>
      </c>
      <c r="AA234" s="495">
        <f t="shared" ref="AA234:AO234" si="124">SUM(AA11:AA233)</f>
        <v>35812217.223200008</v>
      </c>
      <c r="AB234" s="495">
        <f t="shared" si="124"/>
        <v>504885.75189999992</v>
      </c>
      <c r="AC234" s="495">
        <f t="shared" si="124"/>
        <v>263196.47334250004</v>
      </c>
      <c r="AD234" s="495">
        <f t="shared" si="124"/>
        <v>12281283.480235999</v>
      </c>
      <c r="AE234" s="495">
        <f t="shared" si="124"/>
        <v>2738601.5288712499</v>
      </c>
      <c r="AF234" s="495">
        <f t="shared" si="124"/>
        <v>3425259.0249999999</v>
      </c>
      <c r="AG234" s="495">
        <f t="shared" si="124"/>
        <v>593466.69964000024</v>
      </c>
      <c r="AH234" s="495">
        <f t="shared" si="124"/>
        <v>4429550.8716000002</v>
      </c>
      <c r="AI234" s="495">
        <f t="shared" si="124"/>
        <v>2493235.6403994756</v>
      </c>
      <c r="AJ234" s="495">
        <f t="shared" si="124"/>
        <v>3272078.3223999995</v>
      </c>
      <c r="AK234" s="495">
        <f t="shared" si="124"/>
        <v>639817.35450000013</v>
      </c>
      <c r="AL234" s="495">
        <f t="shared" si="124"/>
        <v>6619267.8728749994</v>
      </c>
      <c r="AM234" s="495">
        <f t="shared" si="124"/>
        <v>466499.49743333342</v>
      </c>
      <c r="AN234" s="495">
        <f t="shared" si="124"/>
        <v>1946329.1135</v>
      </c>
      <c r="AO234" s="495">
        <f t="shared" si="124"/>
        <v>6265240.260644</v>
      </c>
    </row>
    <row r="235" spans="1:41" ht="20.25" x14ac:dyDescent="0.2">
      <c r="A235" s="487"/>
      <c r="B235" s="488"/>
      <c r="C235" s="489"/>
      <c r="D235" s="489"/>
      <c r="E235" s="490"/>
      <c r="F235" s="490"/>
      <c r="G235" s="490"/>
      <c r="H235" s="490"/>
      <c r="I235" s="490"/>
      <c r="J235" s="490"/>
      <c r="K235" s="490"/>
      <c r="L235" s="490"/>
      <c r="M235" s="490"/>
      <c r="N235" s="490"/>
      <c r="O235" s="490"/>
      <c r="P235" s="490"/>
      <c r="Q235" s="490"/>
      <c r="R235" s="490"/>
      <c r="S235" s="490"/>
      <c r="T235" s="490"/>
      <c r="U235" s="491"/>
      <c r="V235" s="491"/>
      <c r="W235" s="491"/>
      <c r="X235" s="490"/>
      <c r="Y235" s="492"/>
    </row>
    <row r="236" spans="1:41" ht="20.25" x14ac:dyDescent="0.2">
      <c r="A236" s="496"/>
      <c r="B236" s="497"/>
      <c r="C236" s="498"/>
      <c r="D236" s="498"/>
      <c r="E236" s="499"/>
      <c r="F236" s="499"/>
      <c r="G236" s="499"/>
      <c r="H236" s="499"/>
      <c r="I236" s="499"/>
      <c r="J236" s="499"/>
      <c r="K236" s="499"/>
      <c r="L236" s="499"/>
      <c r="M236" s="499"/>
      <c r="N236" s="499"/>
      <c r="O236" s="499"/>
      <c r="P236" s="499"/>
      <c r="Q236" s="499"/>
      <c r="R236" s="499"/>
      <c r="S236" s="499"/>
      <c r="T236" s="499"/>
      <c r="U236" s="500"/>
      <c r="V236" s="500"/>
      <c r="W236" s="500"/>
      <c r="X236" s="499"/>
      <c r="Y236" s="501"/>
    </row>
    <row r="239" spans="1:41" x14ac:dyDescent="0.2">
      <c r="V239" s="393"/>
      <c r="W239" s="393"/>
      <c r="X239" s="393"/>
      <c r="Y239" s="393"/>
    </row>
    <row r="240" spans="1:41" x14ac:dyDescent="0.2">
      <c r="V240" s="393"/>
      <c r="W240" s="393"/>
      <c r="X240" s="393"/>
      <c r="Y240" s="393"/>
    </row>
    <row r="241" spans="22:25" x14ac:dyDescent="0.2">
      <c r="V241" s="393"/>
      <c r="W241" s="393"/>
      <c r="X241" s="393"/>
      <c r="Y241" s="393"/>
    </row>
    <row r="242" spans="22:25" x14ac:dyDescent="0.2">
      <c r="V242" s="393"/>
      <c r="W242" s="393"/>
      <c r="X242" s="393"/>
      <c r="Y242" s="393"/>
    </row>
    <row r="243" spans="22:25" x14ac:dyDescent="0.2">
      <c r="V243" s="393"/>
      <c r="W243" s="393"/>
      <c r="X243" s="393"/>
      <c r="Y243" s="393"/>
    </row>
    <row r="244" spans="22:25" x14ac:dyDescent="0.2">
      <c r="V244" s="393"/>
      <c r="W244" s="393"/>
      <c r="X244" s="393"/>
      <c r="Y244" s="393"/>
    </row>
    <row r="245" spans="22:25" x14ac:dyDescent="0.2">
      <c r="V245" s="393"/>
      <c r="W245" s="393"/>
      <c r="X245" s="393"/>
      <c r="Y245" s="393"/>
    </row>
    <row r="246" spans="22:25" x14ac:dyDescent="0.2">
      <c r="V246" s="393"/>
      <c r="W246" s="393"/>
      <c r="X246" s="393"/>
      <c r="Y246" s="393"/>
    </row>
    <row r="247" spans="22:25" x14ac:dyDescent="0.2">
      <c r="V247" s="393"/>
      <c r="W247" s="393"/>
      <c r="X247" s="393"/>
      <c r="Y247" s="393"/>
    </row>
    <row r="248" spans="22:25" x14ac:dyDescent="0.2">
      <c r="V248" s="393"/>
      <c r="W248" s="393"/>
      <c r="X248" s="393"/>
      <c r="Y248" s="393"/>
    </row>
    <row r="249" spans="22:25" x14ac:dyDescent="0.2">
      <c r="V249" s="393"/>
      <c r="W249" s="393"/>
      <c r="X249" s="393"/>
      <c r="Y249" s="393"/>
    </row>
    <row r="250" spans="22:25" x14ac:dyDescent="0.2">
      <c r="V250" s="393"/>
      <c r="W250" s="393"/>
      <c r="X250" s="393"/>
      <c r="Y250" s="393"/>
    </row>
    <row r="251" spans="22:25" x14ac:dyDescent="0.2">
      <c r="V251" s="393"/>
      <c r="W251" s="393"/>
      <c r="X251" s="393"/>
      <c r="Y251" s="393"/>
    </row>
  </sheetData>
  <protectedRanges>
    <protectedRange sqref="Y2" name="Range1_4_1"/>
  </protectedRanges>
  <autoFilter ref="A5:AA232"/>
  <mergeCells count="7">
    <mergeCell ref="R234:V234"/>
    <mergeCell ref="AP11:AP12"/>
    <mergeCell ref="A1:Y1"/>
    <mergeCell ref="A2:B2"/>
    <mergeCell ref="C2:W2"/>
    <mergeCell ref="X2:Y2"/>
    <mergeCell ref="A3:Y3"/>
  </mergeCells>
  <phoneticPr fontId="1" type="noConversion"/>
  <conditionalFormatting sqref="C27 C69 C72 C96:D96">
    <cfRule type="cellIs" dxfId="92" priority="43" stopIfTrue="1" operator="equal">
      <formula>#REF!</formula>
    </cfRule>
  </conditionalFormatting>
  <conditionalFormatting sqref="C111:C127 D112:D115 B118:B126 D118:D126">
    <cfRule type="cellIs" dxfId="91" priority="40" stopIfTrue="1" operator="equal">
      <formula>#REF!</formula>
    </cfRule>
  </conditionalFormatting>
  <pageMargins left="0.7" right="0.7" top="0.75" bottom="0.75" header="0.3" footer="0.3"/>
  <pageSetup paperSize="9" scale="53" fitToHeight="12"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Q80"/>
  <sheetViews>
    <sheetView view="pageBreakPreview" zoomScale="55" zoomScaleNormal="55" workbookViewId="0">
      <selection activeCell="I8" sqref="I8"/>
    </sheetView>
  </sheetViews>
  <sheetFormatPr defaultColWidth="13.42578125" defaultRowHeight="12.75" x14ac:dyDescent="0.2"/>
  <cols>
    <col min="1" max="1" width="13.42578125" style="7" customWidth="1"/>
    <col min="2" max="2" width="80.5703125" style="105" customWidth="1"/>
    <col min="3" max="7" width="13.42578125" style="7" customWidth="1"/>
    <col min="8" max="8" width="13.42578125" style="56" customWidth="1"/>
    <col min="9" max="9" width="13.42578125" style="166" customWidth="1"/>
    <col min="10" max="10" width="13.42578125" style="182" hidden="1" customWidth="1"/>
    <col min="11" max="11" width="16" style="166" customWidth="1"/>
    <col min="12" max="12" width="13.42578125" style="7" customWidth="1"/>
    <col min="13" max="16384" width="13.42578125" style="7"/>
  </cols>
  <sheetData>
    <row r="1" spans="1:13" ht="144" customHeight="1" x14ac:dyDescent="0.2">
      <c r="A1" s="598"/>
      <c r="B1" s="598"/>
      <c r="C1" s="598"/>
      <c r="D1" s="598"/>
      <c r="E1" s="598"/>
      <c r="F1" s="598"/>
      <c r="G1" s="598"/>
      <c r="H1" s="598"/>
      <c r="I1" s="598"/>
      <c r="J1" s="598"/>
      <c r="K1" s="598"/>
      <c r="L1" s="598"/>
      <c r="M1" s="599"/>
    </row>
    <row r="2" spans="1:13" ht="89.25" customHeight="1" x14ac:dyDescent="0.2">
      <c r="A2" s="209"/>
      <c r="B2" s="600" t="s">
        <v>13</v>
      </c>
      <c r="C2" s="601"/>
      <c r="D2" s="601"/>
      <c r="E2" s="601"/>
      <c r="F2" s="601"/>
      <c r="G2" s="601"/>
      <c r="H2" s="601"/>
      <c r="I2" s="601"/>
      <c r="J2" s="601"/>
      <c r="K2" s="601"/>
      <c r="L2" s="566" t="s">
        <v>14</v>
      </c>
      <c r="M2" s="567"/>
    </row>
    <row r="3" spans="1:13" ht="20.25" x14ac:dyDescent="0.2">
      <c r="A3" s="602" t="s">
        <v>301</v>
      </c>
      <c r="B3" s="602"/>
      <c r="C3" s="602"/>
      <c r="D3" s="602"/>
      <c r="E3" s="602"/>
      <c r="F3" s="602"/>
      <c r="G3" s="602"/>
      <c r="H3" s="602"/>
      <c r="I3" s="602"/>
      <c r="J3" s="602"/>
      <c r="K3" s="602"/>
      <c r="L3" s="602"/>
      <c r="M3" s="603"/>
    </row>
    <row r="4" spans="1:13" ht="20.25" x14ac:dyDescent="0.2">
      <c r="A4" s="604"/>
      <c r="B4" s="604"/>
      <c r="C4" s="604"/>
      <c r="D4" s="604"/>
      <c r="E4" s="604"/>
      <c r="F4" s="604"/>
      <c r="G4" s="604"/>
      <c r="H4" s="604"/>
      <c r="I4" s="604"/>
      <c r="J4" s="604"/>
      <c r="K4" s="604"/>
      <c r="L4" s="604"/>
      <c r="M4" s="605"/>
    </row>
    <row r="5" spans="1:13" ht="90" x14ac:dyDescent="0.2">
      <c r="A5" s="64" t="s">
        <v>17</v>
      </c>
      <c r="B5" s="102" t="s">
        <v>18</v>
      </c>
      <c r="C5" s="19" t="s">
        <v>19</v>
      </c>
      <c r="D5" s="20" t="s">
        <v>180</v>
      </c>
      <c r="E5" s="20" t="s">
        <v>302</v>
      </c>
      <c r="F5" s="20" t="s">
        <v>303</v>
      </c>
      <c r="G5" s="20" t="s">
        <v>304</v>
      </c>
      <c r="H5" s="21" t="s">
        <v>305</v>
      </c>
      <c r="I5" s="170" t="s">
        <v>37</v>
      </c>
      <c r="J5" s="175" t="s">
        <v>306</v>
      </c>
      <c r="K5" s="21" t="s">
        <v>38</v>
      </c>
      <c r="L5" s="22" t="s">
        <v>39</v>
      </c>
      <c r="M5" s="23" t="s">
        <v>40</v>
      </c>
    </row>
    <row r="6" spans="1:13" ht="22.5" x14ac:dyDescent="0.2">
      <c r="A6" s="65"/>
      <c r="B6" s="103"/>
      <c r="C6" s="20"/>
      <c r="D6" s="20"/>
      <c r="E6" s="20"/>
      <c r="F6" s="20"/>
      <c r="G6" s="20"/>
      <c r="H6" s="26"/>
      <c r="I6" s="101"/>
      <c r="J6" s="190"/>
      <c r="K6" s="26"/>
      <c r="L6" s="6"/>
      <c r="M6" s="27"/>
    </row>
    <row r="7" spans="1:13" ht="164.25" customHeight="1" x14ac:dyDescent="0.2">
      <c r="A7" s="5">
        <v>2.6</v>
      </c>
      <c r="B7" s="33" t="s">
        <v>41</v>
      </c>
      <c r="C7" s="3"/>
      <c r="D7" s="3"/>
      <c r="E7" s="3"/>
      <c r="F7" s="3"/>
      <c r="G7" s="3"/>
      <c r="H7" s="14"/>
      <c r="I7" s="99"/>
      <c r="J7" s="177"/>
      <c r="K7" s="99"/>
      <c r="L7" s="6"/>
      <c r="M7" s="27"/>
    </row>
    <row r="8" spans="1:13" ht="21" x14ac:dyDescent="0.2">
      <c r="A8" s="5"/>
      <c r="B8" s="33" t="s">
        <v>42</v>
      </c>
      <c r="C8" s="3" t="s">
        <v>43</v>
      </c>
      <c r="D8" s="3"/>
      <c r="E8" s="3"/>
      <c r="F8" s="3"/>
      <c r="G8" s="3"/>
      <c r="H8" s="14">
        <f>SUM(H9:H10)</f>
        <v>488.33280000000002</v>
      </c>
      <c r="I8" s="99">
        <v>205.45</v>
      </c>
      <c r="J8" s="177">
        <v>215.04451499999999</v>
      </c>
      <c r="K8" s="99">
        <f>I8*H8</f>
        <v>100327.97375999999</v>
      </c>
      <c r="L8" s="6"/>
      <c r="M8" s="27"/>
    </row>
    <row r="9" spans="1:13" ht="21" x14ac:dyDescent="0.2">
      <c r="A9" s="5"/>
      <c r="B9" s="33" t="s">
        <v>307</v>
      </c>
      <c r="C9" s="3"/>
      <c r="D9" s="14">
        <v>4</v>
      </c>
      <c r="E9" s="14">
        <f>3.14*(3.6*3.6)</f>
        <v>40.694400000000002</v>
      </c>
      <c r="F9" s="14"/>
      <c r="G9" s="14">
        <v>3</v>
      </c>
      <c r="H9" s="14">
        <f>PRODUCT(D9:G9)</f>
        <v>488.33280000000002</v>
      </c>
      <c r="I9" s="99"/>
      <c r="J9" s="177"/>
      <c r="K9" s="99"/>
      <c r="L9" s="6"/>
      <c r="M9" s="27"/>
    </row>
    <row r="10" spans="1:13" ht="21" x14ac:dyDescent="0.2">
      <c r="A10" s="5"/>
      <c r="B10" s="33"/>
      <c r="C10" s="3"/>
      <c r="D10" s="14"/>
      <c r="E10" s="14"/>
      <c r="F10" s="14"/>
      <c r="G10" s="14"/>
      <c r="H10" s="14"/>
      <c r="I10" s="99"/>
      <c r="J10" s="177"/>
      <c r="K10" s="99"/>
      <c r="L10" s="6"/>
      <c r="M10" s="27"/>
    </row>
    <row r="11" spans="1:13" ht="171.75" customHeight="1" x14ac:dyDescent="0.2">
      <c r="A11" s="5">
        <v>2.7</v>
      </c>
      <c r="B11" s="33" t="s">
        <v>44</v>
      </c>
      <c r="C11" s="3"/>
      <c r="D11" s="3"/>
      <c r="E11" s="3"/>
      <c r="F11" s="3"/>
      <c r="G11" s="3"/>
      <c r="H11" s="14"/>
      <c r="I11" s="99"/>
      <c r="J11" s="177">
        <v>0</v>
      </c>
      <c r="K11" s="99">
        <f>I11*H11</f>
        <v>0</v>
      </c>
      <c r="L11" s="6"/>
      <c r="M11" s="27"/>
    </row>
    <row r="12" spans="1:13" ht="21" x14ac:dyDescent="0.2">
      <c r="A12" s="5" t="s">
        <v>45</v>
      </c>
      <c r="B12" s="33" t="s">
        <v>46</v>
      </c>
      <c r="C12" s="3" t="s">
        <v>43</v>
      </c>
      <c r="D12" s="3"/>
      <c r="E12" s="3"/>
      <c r="F12" s="3"/>
      <c r="G12" s="3"/>
      <c r="H12" s="14">
        <f>H8</f>
        <v>488.33280000000002</v>
      </c>
      <c r="I12" s="99">
        <v>412.95</v>
      </c>
      <c r="J12" s="177">
        <v>215.023065</v>
      </c>
      <c r="K12" s="99">
        <f>I12*H12</f>
        <v>201657.02976</v>
      </c>
      <c r="L12" s="6"/>
      <c r="M12" s="27"/>
    </row>
    <row r="13" spans="1:13" ht="60.75" x14ac:dyDescent="0.2">
      <c r="A13" s="29">
        <v>2.2599999999999998</v>
      </c>
      <c r="B13" s="30" t="s">
        <v>47</v>
      </c>
      <c r="C13" s="31"/>
      <c r="D13" s="31"/>
      <c r="E13" s="31"/>
      <c r="F13" s="31"/>
      <c r="G13" s="31"/>
      <c r="H13" s="14"/>
      <c r="I13" s="99"/>
      <c r="J13" s="177">
        <v>0</v>
      </c>
      <c r="K13" s="99">
        <f>I13*H13</f>
        <v>0</v>
      </c>
      <c r="L13" s="6"/>
      <c r="M13" s="27"/>
    </row>
    <row r="14" spans="1:13" ht="20.25" x14ac:dyDescent="0.2">
      <c r="A14" s="29" t="s">
        <v>48</v>
      </c>
      <c r="B14" s="30" t="s">
        <v>49</v>
      </c>
      <c r="C14" s="31" t="s">
        <v>50</v>
      </c>
      <c r="D14" s="31"/>
      <c r="E14" s="31"/>
      <c r="F14" s="31"/>
      <c r="G14" s="31"/>
      <c r="H14" s="14">
        <f>SUM(H15:H16)</f>
        <v>244.16640000000001</v>
      </c>
      <c r="I14" s="178">
        <v>105</v>
      </c>
      <c r="J14" s="177">
        <v>91.845050000000001</v>
      </c>
      <c r="K14" s="99">
        <f>I14*H14</f>
        <v>25637.472000000002</v>
      </c>
      <c r="L14" s="6"/>
      <c r="M14" s="27"/>
    </row>
    <row r="15" spans="1:13" ht="21" x14ac:dyDescent="0.2">
      <c r="A15" s="29"/>
      <c r="B15" s="33"/>
      <c r="C15" s="3"/>
      <c r="D15" s="14">
        <v>4</v>
      </c>
      <c r="E15" s="14">
        <f>E9</f>
        <v>40.694400000000002</v>
      </c>
      <c r="F15" s="14"/>
      <c r="G15" s="14">
        <v>1.5</v>
      </c>
      <c r="H15" s="14">
        <f>PRODUCT(D15:G15)</f>
        <v>244.16640000000001</v>
      </c>
      <c r="I15" s="178"/>
      <c r="J15" s="177"/>
      <c r="K15" s="99"/>
      <c r="L15" s="6"/>
      <c r="M15" s="27"/>
    </row>
    <row r="16" spans="1:13" ht="20.25" x14ac:dyDescent="0.2">
      <c r="A16" s="29"/>
      <c r="B16" s="30"/>
      <c r="C16" s="31"/>
      <c r="D16" s="31"/>
      <c r="E16" s="31"/>
      <c r="F16" s="31"/>
      <c r="G16" s="31"/>
      <c r="H16" s="14"/>
      <c r="I16" s="178"/>
      <c r="J16" s="177"/>
      <c r="K16" s="99"/>
      <c r="L16" s="6"/>
      <c r="M16" s="27"/>
    </row>
    <row r="17" spans="1:17" ht="20.25" x14ac:dyDescent="0.2">
      <c r="A17" s="29" t="s">
        <v>51</v>
      </c>
      <c r="B17" s="30" t="s">
        <v>52</v>
      </c>
      <c r="C17" s="31" t="s">
        <v>50</v>
      </c>
      <c r="D17" s="31"/>
      <c r="E17" s="31"/>
      <c r="F17" s="31"/>
      <c r="G17" s="31"/>
      <c r="H17" s="14">
        <f>H14</f>
        <v>244.16640000000001</v>
      </c>
      <c r="I17" s="178">
        <v>187</v>
      </c>
      <c r="J17" s="177">
        <v>182.56507999999999</v>
      </c>
      <c r="K17" s="99">
        <f>I17*H17</f>
        <v>45659.116800000003</v>
      </c>
      <c r="L17" s="6"/>
      <c r="M17" s="27"/>
    </row>
    <row r="18" spans="1:17" ht="142.5" customHeight="1" x14ac:dyDescent="0.2">
      <c r="A18" s="5">
        <v>2.25</v>
      </c>
      <c r="B18" s="33" t="s">
        <v>59</v>
      </c>
      <c r="C18" s="3" t="s">
        <v>60</v>
      </c>
      <c r="D18" s="3"/>
      <c r="E18" s="3"/>
      <c r="F18" s="3"/>
      <c r="G18" s="3"/>
      <c r="H18" s="14">
        <f>SUM(H19:H20)</f>
        <v>0</v>
      </c>
      <c r="I18" s="99">
        <v>253.95</v>
      </c>
      <c r="J18" s="177">
        <v>182.56465499999999</v>
      </c>
      <c r="K18" s="99">
        <f>I18*H18</f>
        <v>0</v>
      </c>
      <c r="L18" s="6"/>
      <c r="M18" s="27"/>
    </row>
    <row r="19" spans="1:17" ht="39" customHeight="1" x14ac:dyDescent="0.2">
      <c r="A19" s="5"/>
      <c r="B19" s="33"/>
      <c r="C19" s="3"/>
      <c r="D19" s="3"/>
      <c r="E19" s="3"/>
      <c r="F19" s="3"/>
      <c r="G19" s="14"/>
      <c r="H19" s="14"/>
      <c r="I19" s="99"/>
      <c r="J19" s="177"/>
      <c r="K19" s="99"/>
      <c r="L19" s="6"/>
      <c r="M19" s="27"/>
    </row>
    <row r="20" spans="1:17" ht="21" x14ac:dyDescent="0.2">
      <c r="A20" s="5"/>
      <c r="B20" s="33"/>
      <c r="C20" s="3"/>
      <c r="D20" s="3"/>
      <c r="E20" s="14"/>
      <c r="F20" s="14"/>
      <c r="G20" s="14"/>
      <c r="H20" s="14">
        <f>PRODUCT(D20:G20)</f>
        <v>0</v>
      </c>
      <c r="I20" s="99"/>
      <c r="J20" s="177"/>
      <c r="K20" s="99"/>
      <c r="L20" s="6"/>
      <c r="M20" s="27"/>
    </row>
    <row r="21" spans="1:17" ht="84" x14ac:dyDescent="0.2">
      <c r="A21" s="5">
        <v>1.1000000000000001</v>
      </c>
      <c r="B21" s="33" t="s">
        <v>61</v>
      </c>
      <c r="C21" s="6"/>
      <c r="D21" s="6"/>
      <c r="E21" s="6"/>
      <c r="F21" s="6"/>
      <c r="G21" s="6"/>
      <c r="H21" s="14"/>
      <c r="I21" s="99"/>
      <c r="J21" s="177">
        <v>0</v>
      </c>
      <c r="K21" s="99">
        <f>I21*H21</f>
        <v>0</v>
      </c>
      <c r="L21" s="6"/>
      <c r="M21" s="27"/>
    </row>
    <row r="22" spans="1:17" ht="21" x14ac:dyDescent="0.2">
      <c r="A22" s="5" t="s">
        <v>62</v>
      </c>
      <c r="B22" s="33" t="s">
        <v>63</v>
      </c>
      <c r="C22" s="3" t="s">
        <v>60</v>
      </c>
      <c r="D22" s="3"/>
      <c r="E22" s="3"/>
      <c r="F22" s="3"/>
      <c r="G22" s="3"/>
      <c r="H22" s="14">
        <f>H8-H18</f>
        <v>488.33280000000002</v>
      </c>
      <c r="I22" s="99">
        <v>271.45</v>
      </c>
      <c r="J22" s="177">
        <v>98.563495000000003</v>
      </c>
      <c r="K22" s="99">
        <f>I22*H22</f>
        <v>132557.93856000001</v>
      </c>
      <c r="L22" s="6"/>
      <c r="M22" s="27"/>
    </row>
    <row r="23" spans="1:17" ht="21" x14ac:dyDescent="0.2">
      <c r="A23" s="5" t="s">
        <v>64</v>
      </c>
      <c r="B23" s="33" t="s">
        <v>65</v>
      </c>
      <c r="C23" s="3" t="s">
        <v>60</v>
      </c>
      <c r="D23" s="3"/>
      <c r="E23" s="3"/>
      <c r="F23" s="3"/>
      <c r="G23" s="3"/>
      <c r="H23" s="14"/>
      <c r="I23" s="99">
        <v>434.32</v>
      </c>
      <c r="J23" s="177">
        <v>147.84252799999999</v>
      </c>
      <c r="K23" s="99">
        <f>I23*H23</f>
        <v>0</v>
      </c>
      <c r="L23" s="6"/>
      <c r="M23" s="27"/>
    </row>
    <row r="24" spans="1:17" ht="186.75" customHeight="1" x14ac:dyDescent="0.2">
      <c r="A24" s="32">
        <v>810</v>
      </c>
      <c r="B24" s="15" t="s">
        <v>308</v>
      </c>
      <c r="C24" s="3"/>
      <c r="D24" s="3"/>
      <c r="E24" s="3"/>
      <c r="F24" s="3"/>
      <c r="G24" s="3"/>
      <c r="H24" s="14"/>
      <c r="I24" s="99"/>
      <c r="J24" s="177">
        <v>0</v>
      </c>
      <c r="K24" s="99">
        <f>I24*H24</f>
        <v>0</v>
      </c>
      <c r="L24" s="6"/>
      <c r="M24" s="27"/>
    </row>
    <row r="25" spans="1:17" ht="21" x14ac:dyDescent="0.2">
      <c r="A25" s="32">
        <v>810</v>
      </c>
      <c r="B25" s="33" t="s">
        <v>66</v>
      </c>
      <c r="C25" s="3" t="s">
        <v>60</v>
      </c>
      <c r="D25" s="3"/>
      <c r="E25" s="3"/>
      <c r="F25" s="3"/>
      <c r="G25" s="3"/>
      <c r="H25" s="14">
        <f>SUM(H26:H27)</f>
        <v>207.2</v>
      </c>
      <c r="I25" s="99">
        <v>500</v>
      </c>
      <c r="J25" s="177">
        <v>730.25</v>
      </c>
      <c r="K25" s="99">
        <f>I25*H25</f>
        <v>103600</v>
      </c>
      <c r="L25" s="6"/>
      <c r="M25" s="27"/>
    </row>
    <row r="26" spans="1:17" ht="21" x14ac:dyDescent="0.2">
      <c r="A26" s="32"/>
      <c r="B26" s="33"/>
      <c r="C26" s="3"/>
      <c r="D26" s="3">
        <v>4</v>
      </c>
      <c r="E26" s="3">
        <v>21</v>
      </c>
      <c r="F26" s="3"/>
      <c r="G26" s="3"/>
      <c r="H26" s="14">
        <f>PRODUCT(D26:G26)</f>
        <v>84</v>
      </c>
      <c r="I26" s="99"/>
      <c r="J26" s="177"/>
      <c r="K26" s="99"/>
      <c r="L26" s="6"/>
      <c r="M26" s="27"/>
    </row>
    <row r="27" spans="1:17" ht="21" x14ac:dyDescent="0.2">
      <c r="A27" s="32"/>
      <c r="B27" s="33"/>
      <c r="C27" s="3"/>
      <c r="D27" s="3"/>
      <c r="E27" s="14">
        <v>308</v>
      </c>
      <c r="F27" s="14">
        <v>0.4</v>
      </c>
      <c r="G27" s="3"/>
      <c r="H27" s="14">
        <f>PRODUCT(D27:G27)</f>
        <v>123.2</v>
      </c>
      <c r="I27" s="99"/>
      <c r="J27" s="177"/>
      <c r="K27" s="99"/>
      <c r="L27" s="6"/>
      <c r="M27" s="27"/>
    </row>
    <row r="28" spans="1:17" ht="27" x14ac:dyDescent="0.35">
      <c r="A28" s="32">
        <v>982</v>
      </c>
      <c r="B28" s="33" t="s">
        <v>68</v>
      </c>
      <c r="C28" s="3" t="s">
        <v>60</v>
      </c>
      <c r="D28" s="3"/>
      <c r="E28" s="3"/>
      <c r="F28" s="3"/>
      <c r="G28" s="3"/>
      <c r="H28" s="14"/>
      <c r="I28" s="99">
        <v>1500</v>
      </c>
      <c r="J28" s="177">
        <v>3024</v>
      </c>
      <c r="K28" s="99">
        <f>I28*H28</f>
        <v>0</v>
      </c>
      <c r="L28" s="6"/>
      <c r="M28" s="27"/>
      <c r="O28" s="259"/>
      <c r="P28" s="259"/>
      <c r="Q28" s="259"/>
    </row>
    <row r="29" spans="1:17" ht="21" x14ac:dyDescent="0.2">
      <c r="A29" s="5"/>
      <c r="B29" s="33" t="s">
        <v>69</v>
      </c>
      <c r="C29" s="3"/>
      <c r="D29" s="3"/>
      <c r="E29" s="3"/>
      <c r="F29" s="3"/>
      <c r="G29" s="3"/>
      <c r="H29" s="14"/>
      <c r="I29" s="99"/>
      <c r="J29" s="177"/>
      <c r="K29" s="99">
        <f>I29*H29</f>
        <v>0</v>
      </c>
      <c r="L29" s="6"/>
      <c r="M29" s="27"/>
    </row>
    <row r="30" spans="1:17" ht="20.25" customHeight="1" x14ac:dyDescent="0.2">
      <c r="A30" s="5" t="s">
        <v>70</v>
      </c>
      <c r="B30" s="571" t="s">
        <v>71</v>
      </c>
      <c r="C30" s="14"/>
      <c r="D30" s="14"/>
      <c r="E30" s="14"/>
      <c r="F30" s="14"/>
      <c r="G30" s="14"/>
      <c r="H30" s="14"/>
      <c r="I30" s="99"/>
      <c r="J30" s="177"/>
      <c r="K30" s="99">
        <f>I30*H30</f>
        <v>0</v>
      </c>
      <c r="L30" s="6"/>
      <c r="M30" s="27"/>
    </row>
    <row r="31" spans="1:17" ht="223.5" customHeight="1" x14ac:dyDescent="0.2">
      <c r="A31" s="5"/>
      <c r="B31" s="571"/>
      <c r="C31" s="14"/>
      <c r="D31" s="14"/>
      <c r="E31" s="14"/>
      <c r="F31" s="14"/>
      <c r="G31" s="14"/>
      <c r="H31" s="14"/>
      <c r="I31" s="99"/>
      <c r="J31" s="177">
        <v>0</v>
      </c>
      <c r="K31" s="99">
        <f>I31*H31</f>
        <v>0</v>
      </c>
      <c r="L31" s="6"/>
      <c r="M31" s="27"/>
    </row>
    <row r="32" spans="1:17" ht="21" x14ac:dyDescent="0.2">
      <c r="A32" s="5"/>
      <c r="B32" s="33" t="s">
        <v>72</v>
      </c>
      <c r="C32" s="3" t="s">
        <v>73</v>
      </c>
      <c r="D32" s="3"/>
      <c r="E32" s="3"/>
      <c r="F32" s="3"/>
      <c r="G32" s="3" t="s">
        <v>309</v>
      </c>
      <c r="H32" s="14">
        <f>SUM(H33:H33)</f>
        <v>0</v>
      </c>
      <c r="I32" s="99">
        <v>53</v>
      </c>
      <c r="J32" s="177">
        <v>110.8813</v>
      </c>
      <c r="K32" s="99">
        <f>I32*H32</f>
        <v>0</v>
      </c>
      <c r="L32" s="6"/>
      <c r="M32" s="27"/>
    </row>
    <row r="33" spans="1:13" ht="21" x14ac:dyDescent="0.2">
      <c r="A33" s="5"/>
      <c r="B33" s="33"/>
      <c r="C33" s="3"/>
      <c r="D33" s="3"/>
      <c r="E33" s="14"/>
      <c r="F33" s="14"/>
      <c r="G33" s="3"/>
      <c r="H33" s="14">
        <f>PRODUCT(D33:G33)</f>
        <v>0</v>
      </c>
      <c r="I33" s="99"/>
      <c r="J33" s="177"/>
      <c r="K33" s="99"/>
      <c r="L33" s="6"/>
      <c r="M33" s="27"/>
    </row>
    <row r="34" spans="1:13" ht="63" x14ac:dyDescent="0.2">
      <c r="A34" s="5">
        <v>4.0999999999999996</v>
      </c>
      <c r="B34" s="33" t="s">
        <v>74</v>
      </c>
      <c r="C34" s="3"/>
      <c r="D34" s="3"/>
      <c r="E34" s="3"/>
      <c r="F34" s="3"/>
      <c r="G34" s="3"/>
      <c r="H34" s="14"/>
      <c r="I34" s="99"/>
      <c r="J34" s="177"/>
      <c r="K34" s="99">
        <f>I34*H34</f>
        <v>0</v>
      </c>
      <c r="L34" s="6"/>
      <c r="M34" s="27"/>
    </row>
    <row r="35" spans="1:13" ht="98.25" customHeight="1" x14ac:dyDescent="0.2">
      <c r="A35" s="5" t="s">
        <v>75</v>
      </c>
      <c r="B35" s="33" t="s">
        <v>76</v>
      </c>
      <c r="C35" s="3" t="s">
        <v>43</v>
      </c>
      <c r="D35" s="3"/>
      <c r="E35" s="3"/>
      <c r="F35" s="3"/>
      <c r="G35" s="3" t="s">
        <v>309</v>
      </c>
      <c r="H35" s="14">
        <f>SUM(H36:H37)</f>
        <v>14.095460000000001</v>
      </c>
      <c r="I35" s="99">
        <v>6833.4</v>
      </c>
      <c r="J35" s="177">
        <v>4811.3969399999996</v>
      </c>
      <c r="K35" s="99">
        <f>I35*H35</f>
        <v>96319.916364000004</v>
      </c>
      <c r="L35" s="6"/>
      <c r="M35" s="27"/>
    </row>
    <row r="36" spans="1:13" ht="21" x14ac:dyDescent="0.2">
      <c r="A36" s="5"/>
      <c r="B36" s="33"/>
      <c r="C36" s="3"/>
      <c r="D36" s="3">
        <v>4</v>
      </c>
      <c r="E36" s="14">
        <f>3.14*(3.35*3.35)</f>
        <v>35.23865</v>
      </c>
      <c r="F36" s="3"/>
      <c r="G36" s="14">
        <v>0.1</v>
      </c>
      <c r="H36" s="14">
        <f>PRODUCT(D36:G36)</f>
        <v>14.095460000000001</v>
      </c>
      <c r="I36" s="99"/>
      <c r="J36" s="177"/>
      <c r="K36" s="99"/>
      <c r="L36" s="6"/>
      <c r="M36" s="27"/>
    </row>
    <row r="37" spans="1:13" ht="21" x14ac:dyDescent="0.2">
      <c r="A37" s="5"/>
      <c r="B37" s="33"/>
      <c r="C37" s="3"/>
      <c r="D37" s="3"/>
      <c r="E37" s="14"/>
      <c r="F37" s="14"/>
      <c r="G37" s="14"/>
      <c r="H37" s="14"/>
      <c r="I37" s="99"/>
      <c r="J37" s="177"/>
      <c r="K37" s="99"/>
      <c r="L37" s="6"/>
      <c r="M37" s="27"/>
    </row>
    <row r="38" spans="1:13" ht="189" x14ac:dyDescent="0.2">
      <c r="A38" s="5">
        <v>16.79</v>
      </c>
      <c r="B38" s="33" t="s">
        <v>77</v>
      </c>
      <c r="C38" s="3" t="s">
        <v>43</v>
      </c>
      <c r="D38" s="3"/>
      <c r="E38" s="3"/>
      <c r="F38" s="3"/>
      <c r="G38" s="3" t="s">
        <v>309</v>
      </c>
      <c r="H38" s="14">
        <f>SUM(H39:H39)</f>
        <v>0</v>
      </c>
      <c r="I38" s="99">
        <v>2803.65</v>
      </c>
      <c r="J38" s="177">
        <v>1985.8252950000001</v>
      </c>
      <c r="K38" s="99">
        <f>I38*H38</f>
        <v>0</v>
      </c>
      <c r="L38" s="6"/>
      <c r="M38" s="27"/>
    </row>
    <row r="39" spans="1:13" ht="21" x14ac:dyDescent="0.2">
      <c r="A39" s="5"/>
      <c r="B39" s="33"/>
      <c r="C39" s="3"/>
      <c r="D39" s="3"/>
      <c r="E39" s="3"/>
      <c r="F39" s="3"/>
      <c r="G39" s="3"/>
      <c r="H39" s="14">
        <f>PRODUCT(D39:G39)</f>
        <v>0</v>
      </c>
      <c r="I39" s="99"/>
      <c r="J39" s="177"/>
      <c r="K39" s="99"/>
      <c r="L39" s="6"/>
      <c r="M39" s="27"/>
    </row>
    <row r="40" spans="1:13" ht="42" x14ac:dyDescent="0.2">
      <c r="A40" s="5" t="s">
        <v>78</v>
      </c>
      <c r="B40" s="33" t="s">
        <v>79</v>
      </c>
      <c r="C40" s="3" t="s">
        <v>73</v>
      </c>
      <c r="D40" s="3"/>
      <c r="E40" s="3"/>
      <c r="F40" s="3"/>
      <c r="G40" s="3"/>
      <c r="H40" s="14"/>
      <c r="I40" s="99">
        <v>120</v>
      </c>
      <c r="J40" s="177">
        <v>151.19999999999999</v>
      </c>
      <c r="K40" s="99">
        <f t="shared" ref="K40:K46" si="0">I40*H40</f>
        <v>0</v>
      </c>
      <c r="L40" s="6"/>
      <c r="M40" s="27"/>
    </row>
    <row r="41" spans="1:13" ht="42" x14ac:dyDescent="0.2">
      <c r="A41" s="5">
        <v>5.9</v>
      </c>
      <c r="B41" s="33" t="s">
        <v>80</v>
      </c>
      <c r="C41" s="3"/>
      <c r="D41" s="3"/>
      <c r="E41" s="3"/>
      <c r="F41" s="3"/>
      <c r="G41" s="3"/>
      <c r="H41" s="14"/>
      <c r="I41" s="99"/>
      <c r="J41" s="177"/>
      <c r="K41" s="99">
        <f t="shared" si="0"/>
        <v>0</v>
      </c>
      <c r="L41" s="6"/>
      <c r="M41" s="27"/>
    </row>
    <row r="42" spans="1:13" ht="84" x14ac:dyDescent="0.2">
      <c r="A42" s="5" t="s">
        <v>81</v>
      </c>
      <c r="B42" s="33" t="s">
        <v>310</v>
      </c>
      <c r="C42" s="3" t="s">
        <v>73</v>
      </c>
      <c r="D42" s="3"/>
      <c r="E42" s="3"/>
      <c r="F42" s="3"/>
      <c r="G42" s="3" t="s">
        <v>309</v>
      </c>
      <c r="H42" s="14">
        <f>SUM(H43:H45)</f>
        <v>550.13599999999997</v>
      </c>
      <c r="I42" s="99">
        <v>307.95</v>
      </c>
      <c r="J42" s="177">
        <v>684.32649000000004</v>
      </c>
      <c r="K42" s="99">
        <f t="shared" si="0"/>
        <v>169414.38119999997</v>
      </c>
      <c r="L42" s="6"/>
      <c r="M42" s="27"/>
    </row>
    <row r="43" spans="1:13" ht="21" x14ac:dyDescent="0.2">
      <c r="A43" s="5"/>
      <c r="B43" s="3" t="str">
        <f>B52</f>
        <v xml:space="preserve">for platform </v>
      </c>
      <c r="C43" s="3"/>
      <c r="D43" s="3">
        <v>4</v>
      </c>
      <c r="E43" s="3">
        <f>2*3.14*3.3</f>
        <v>20.724</v>
      </c>
      <c r="F43" s="3"/>
      <c r="G43" s="3">
        <f>G52</f>
        <v>3.5</v>
      </c>
      <c r="H43" s="14">
        <f>PRODUCT(D43:G43)</f>
        <v>290.13600000000002</v>
      </c>
      <c r="I43" s="99"/>
      <c r="J43" s="177"/>
      <c r="K43" s="99">
        <f t="shared" si="0"/>
        <v>0</v>
      </c>
      <c r="L43" s="6"/>
      <c r="M43" s="27"/>
    </row>
    <row r="44" spans="1:13" ht="409.5" x14ac:dyDescent="0.2">
      <c r="A44" s="139">
        <v>16.91</v>
      </c>
      <c r="B44" s="140" t="s">
        <v>237</v>
      </c>
      <c r="C44" s="3"/>
      <c r="D44" s="3"/>
      <c r="E44" s="3"/>
      <c r="F44" s="3"/>
      <c r="G44" s="3"/>
      <c r="H44" s="14"/>
      <c r="I44" s="99"/>
      <c r="J44" s="177"/>
      <c r="K44" s="99">
        <f t="shared" si="0"/>
        <v>0</v>
      </c>
      <c r="L44" s="6"/>
      <c r="M44" s="27"/>
    </row>
    <row r="45" spans="1:13" ht="69.75" x14ac:dyDescent="0.2">
      <c r="A45" s="139" t="s">
        <v>240</v>
      </c>
      <c r="B45" s="140" t="s">
        <v>311</v>
      </c>
      <c r="C45" s="141" t="s">
        <v>73</v>
      </c>
      <c r="D45" s="141"/>
      <c r="E45" s="141"/>
      <c r="F45" s="141"/>
      <c r="G45" s="141"/>
      <c r="H45" s="141">
        <f>SUM(H46:H47)</f>
        <v>260</v>
      </c>
      <c r="I45" s="200">
        <v>1011.2</v>
      </c>
      <c r="J45" s="200">
        <f>I45*H45</f>
        <v>262912</v>
      </c>
      <c r="K45" s="99">
        <f t="shared" si="0"/>
        <v>262912</v>
      </c>
      <c r="L45" s="6"/>
      <c r="M45" s="27"/>
    </row>
    <row r="46" spans="1:13" ht="23.25" x14ac:dyDescent="0.2">
      <c r="A46" s="139"/>
      <c r="B46" s="140"/>
      <c r="C46" s="141"/>
      <c r="D46" s="141"/>
      <c r="E46" s="141">
        <v>12</v>
      </c>
      <c r="F46" s="141">
        <v>35</v>
      </c>
      <c r="G46" s="141"/>
      <c r="H46" s="141">
        <f>PRODUCT(D46:G46)</f>
        <v>420</v>
      </c>
      <c r="I46" s="200"/>
      <c r="J46" s="200"/>
      <c r="K46" s="99">
        <f t="shared" si="0"/>
        <v>0</v>
      </c>
      <c r="L46" s="6"/>
      <c r="M46" s="27"/>
    </row>
    <row r="47" spans="1:13" ht="23.25" x14ac:dyDescent="0.2">
      <c r="A47" s="139"/>
      <c r="B47" s="140"/>
      <c r="C47" s="141"/>
      <c r="D47" s="141">
        <v>4</v>
      </c>
      <c r="E47" s="141">
        <v>40</v>
      </c>
      <c r="F47" s="141">
        <v>-1</v>
      </c>
      <c r="G47" s="141"/>
      <c r="H47" s="141">
        <f>PRODUCT(D47:G47)</f>
        <v>-160</v>
      </c>
      <c r="I47" s="200"/>
      <c r="J47" s="200"/>
      <c r="K47" s="99"/>
      <c r="L47" s="6"/>
      <c r="M47" s="27"/>
    </row>
    <row r="48" spans="1:13" ht="21" x14ac:dyDescent="0.2">
      <c r="A48" s="5"/>
      <c r="B48" s="33"/>
      <c r="C48" s="3"/>
      <c r="D48" s="3"/>
      <c r="E48" s="3"/>
      <c r="F48" s="3"/>
      <c r="G48" s="3"/>
      <c r="H48" s="14"/>
      <c r="I48" s="99"/>
      <c r="J48" s="177"/>
      <c r="K48" s="99">
        <f>I48*H48</f>
        <v>0</v>
      </c>
      <c r="L48" s="6"/>
      <c r="M48" s="27"/>
    </row>
    <row r="49" spans="1:13" ht="409.5" x14ac:dyDescent="0.2">
      <c r="A49" s="5">
        <v>5.33</v>
      </c>
      <c r="B49" s="33" t="s">
        <v>312</v>
      </c>
      <c r="C49" s="3"/>
      <c r="D49" s="3"/>
      <c r="E49" s="3"/>
      <c r="F49" s="3"/>
      <c r="G49" s="3"/>
      <c r="H49" s="14"/>
      <c r="I49" s="99"/>
      <c r="J49" s="177"/>
      <c r="K49" s="99">
        <f>I49*H49</f>
        <v>0</v>
      </c>
      <c r="L49" s="6"/>
      <c r="M49" s="27"/>
    </row>
    <row r="50" spans="1:13" ht="21" x14ac:dyDescent="0.2">
      <c r="A50" s="5" t="s">
        <v>100</v>
      </c>
      <c r="B50" s="33" t="s">
        <v>101</v>
      </c>
      <c r="C50" s="3"/>
      <c r="D50" s="3"/>
      <c r="E50" s="3"/>
      <c r="F50" s="3"/>
      <c r="G50" s="3"/>
      <c r="H50" s="14"/>
      <c r="I50" s="99"/>
      <c r="J50" s="177"/>
      <c r="K50" s="99">
        <f>I50*H50</f>
        <v>0</v>
      </c>
      <c r="L50" s="6"/>
      <c r="M50" s="27"/>
    </row>
    <row r="51" spans="1:13" ht="42" x14ac:dyDescent="0.2">
      <c r="A51" s="5" t="s">
        <v>102</v>
      </c>
      <c r="B51" s="33" t="s">
        <v>313</v>
      </c>
      <c r="C51" s="3" t="s">
        <v>43</v>
      </c>
      <c r="D51" s="3"/>
      <c r="E51" s="3"/>
      <c r="F51" s="3"/>
      <c r="G51" s="3" t="s">
        <v>309</v>
      </c>
      <c r="H51" s="14">
        <f>SUM(H52:H54)</f>
        <v>478.72439999999995</v>
      </c>
      <c r="I51" s="99">
        <v>7997.3</v>
      </c>
      <c r="J51" s="177">
        <v>6051.5569100000002</v>
      </c>
      <c r="K51" s="99">
        <f>I51*H51</f>
        <v>3828502.6441199998</v>
      </c>
      <c r="L51" s="6"/>
      <c r="M51" s="27"/>
    </row>
    <row r="52" spans="1:13" ht="21" x14ac:dyDescent="0.2">
      <c r="A52" s="5"/>
      <c r="B52" s="33" t="s">
        <v>314</v>
      </c>
      <c r="C52" s="3"/>
      <c r="D52" s="3">
        <v>4</v>
      </c>
      <c r="E52" s="14">
        <f>3.14*(3.3*3.3)</f>
        <v>34.194599999999994</v>
      </c>
      <c r="F52" s="3"/>
      <c r="G52" s="14">
        <v>3.5</v>
      </c>
      <c r="H52" s="2">
        <f>PRODUCT(D52:G52)</f>
        <v>478.72439999999995</v>
      </c>
      <c r="I52" s="189"/>
      <c r="J52" s="99"/>
      <c r="K52" s="189"/>
      <c r="L52" s="6"/>
      <c r="M52" s="27"/>
    </row>
    <row r="53" spans="1:13" ht="21" x14ac:dyDescent="0.2">
      <c r="A53" s="5"/>
      <c r="B53" s="33"/>
      <c r="C53" s="3"/>
      <c r="D53" s="3"/>
      <c r="E53" s="3"/>
      <c r="F53" s="3"/>
      <c r="G53" s="3"/>
      <c r="H53" s="2"/>
      <c r="I53" s="99"/>
      <c r="J53" s="177"/>
      <c r="K53" s="99"/>
      <c r="L53" s="6"/>
      <c r="M53" s="27"/>
    </row>
    <row r="54" spans="1:13" ht="21" x14ac:dyDescent="0.2">
      <c r="A54" s="5"/>
      <c r="B54" s="33"/>
      <c r="C54" s="3"/>
      <c r="D54" s="3"/>
      <c r="E54" s="3"/>
      <c r="F54" s="3"/>
      <c r="G54" s="3"/>
      <c r="H54" s="2"/>
      <c r="I54" s="99"/>
      <c r="J54" s="177"/>
      <c r="K54" s="99"/>
      <c r="L54" s="6"/>
      <c r="M54" s="27"/>
    </row>
    <row r="55" spans="1:13" ht="42" x14ac:dyDescent="0.2">
      <c r="A55" s="5" t="s">
        <v>104</v>
      </c>
      <c r="B55" s="33" t="s">
        <v>315</v>
      </c>
      <c r="C55" s="3" t="s">
        <v>43</v>
      </c>
      <c r="D55" s="3"/>
      <c r="E55" s="3"/>
      <c r="F55" s="3"/>
      <c r="G55" s="3"/>
      <c r="H55" s="14"/>
      <c r="I55" s="99">
        <v>8599.35</v>
      </c>
      <c r="J55" s="177">
        <v>6262.0466699999997</v>
      </c>
      <c r="K55" s="99">
        <f>I55*H55</f>
        <v>0</v>
      </c>
      <c r="L55" s="6"/>
      <c r="M55" s="27"/>
    </row>
    <row r="56" spans="1:13" ht="21" x14ac:dyDescent="0.2">
      <c r="A56" s="5" t="s">
        <v>106</v>
      </c>
      <c r="B56" s="33" t="s">
        <v>107</v>
      </c>
      <c r="C56" s="3"/>
      <c r="D56" s="3"/>
      <c r="E56" s="3"/>
      <c r="F56" s="3"/>
      <c r="G56" s="3"/>
      <c r="H56" s="14"/>
      <c r="I56" s="99"/>
      <c r="J56" s="177">
        <v>0</v>
      </c>
      <c r="K56" s="99">
        <f>I56*H56</f>
        <v>0</v>
      </c>
      <c r="L56" s="6"/>
      <c r="M56" s="27"/>
    </row>
    <row r="57" spans="1:13" ht="42" x14ac:dyDescent="0.2">
      <c r="A57" s="5" t="s">
        <v>108</v>
      </c>
      <c r="B57" s="33" t="s">
        <v>313</v>
      </c>
      <c r="C57" s="3" t="s">
        <v>43</v>
      </c>
      <c r="D57" s="3"/>
      <c r="E57" s="3"/>
      <c r="F57" s="3"/>
      <c r="G57" s="3" t="s">
        <v>309</v>
      </c>
      <c r="H57" s="14">
        <f>SUM(H58:H58)</f>
        <v>0</v>
      </c>
      <c r="I57" s="99">
        <v>10080.15</v>
      </c>
      <c r="J57" s="177">
        <v>6660.9631200000003</v>
      </c>
      <c r="K57" s="99">
        <f>I57*H57</f>
        <v>0</v>
      </c>
      <c r="L57" s="6"/>
      <c r="M57" s="27"/>
    </row>
    <row r="58" spans="1:13" ht="21" x14ac:dyDescent="0.2">
      <c r="A58" s="5"/>
      <c r="B58" s="33"/>
      <c r="C58" s="3"/>
      <c r="D58" s="3"/>
      <c r="E58" s="3"/>
      <c r="F58" s="3"/>
      <c r="G58" s="3"/>
      <c r="H58" s="14"/>
      <c r="I58" s="99"/>
      <c r="J58" s="177"/>
      <c r="K58" s="99"/>
      <c r="L58" s="6"/>
      <c r="M58" s="27"/>
    </row>
    <row r="59" spans="1:13" ht="42" x14ac:dyDescent="0.2">
      <c r="A59" s="5" t="s">
        <v>109</v>
      </c>
      <c r="B59" s="33" t="s">
        <v>315</v>
      </c>
      <c r="C59" s="3" t="s">
        <v>43</v>
      </c>
      <c r="D59" s="3"/>
      <c r="E59" s="3"/>
      <c r="F59" s="3"/>
      <c r="G59" s="3"/>
      <c r="H59" s="14"/>
      <c r="I59" s="99">
        <v>10221.700000000001</v>
      </c>
      <c r="J59" s="177">
        <v>6870.0045700000001</v>
      </c>
      <c r="K59" s="99">
        <f>I59*H59</f>
        <v>0</v>
      </c>
      <c r="L59" s="6"/>
      <c r="M59" s="27"/>
    </row>
    <row r="60" spans="1:13" ht="84" x14ac:dyDescent="0.2">
      <c r="A60" s="5">
        <v>5.22</v>
      </c>
      <c r="B60" s="33" t="s">
        <v>316</v>
      </c>
      <c r="C60" s="8"/>
      <c r="D60" s="8"/>
      <c r="E60" s="8"/>
      <c r="F60" s="8"/>
      <c r="G60" s="8"/>
      <c r="H60" s="14"/>
      <c r="I60" s="99"/>
      <c r="J60" s="177">
        <v>0</v>
      </c>
      <c r="K60" s="99">
        <f>I60*H60</f>
        <v>0</v>
      </c>
      <c r="L60" s="6"/>
      <c r="M60" s="27"/>
    </row>
    <row r="61" spans="1:13" ht="42" x14ac:dyDescent="0.2">
      <c r="A61" s="5" t="s">
        <v>110</v>
      </c>
      <c r="B61" s="33" t="s">
        <v>111</v>
      </c>
      <c r="C61" s="3" t="s">
        <v>112</v>
      </c>
      <c r="D61" s="3"/>
      <c r="E61" s="3"/>
      <c r="F61" s="3"/>
      <c r="G61" s="3" t="s">
        <v>309</v>
      </c>
      <c r="H61" s="35">
        <f>SUM(H62:H63)</f>
        <v>15045.623999999998</v>
      </c>
      <c r="I61" s="99">
        <v>89.65</v>
      </c>
      <c r="J61" s="177">
        <v>90.716835000000003</v>
      </c>
      <c r="K61" s="99">
        <f>I61*H61</f>
        <v>1348840.1916</v>
      </c>
      <c r="L61" s="6"/>
      <c r="M61" s="27"/>
    </row>
    <row r="62" spans="1:13" ht="21" x14ac:dyDescent="0.2">
      <c r="A62" s="5"/>
      <c r="B62" s="33"/>
      <c r="C62" s="3"/>
      <c r="D62" s="3">
        <v>4</v>
      </c>
      <c r="E62" s="3">
        <f>E52</f>
        <v>34.194599999999994</v>
      </c>
      <c r="F62" s="3"/>
      <c r="G62" s="14"/>
      <c r="H62" s="14">
        <f>PRODUCT(D62:G62)*110</f>
        <v>15045.623999999998</v>
      </c>
      <c r="I62" s="99"/>
      <c r="J62" s="177"/>
      <c r="K62" s="99"/>
      <c r="L62" s="6"/>
      <c r="M62" s="27"/>
    </row>
    <row r="63" spans="1:13" ht="21" x14ac:dyDescent="0.2">
      <c r="A63" s="5"/>
      <c r="B63" s="33"/>
      <c r="C63" s="3"/>
      <c r="D63" s="3"/>
      <c r="E63" s="2"/>
      <c r="F63" s="3"/>
      <c r="G63" s="14"/>
      <c r="H63" s="14"/>
      <c r="I63" s="99"/>
      <c r="J63" s="177"/>
      <c r="K63" s="99"/>
      <c r="L63" s="6"/>
      <c r="M63" s="27"/>
    </row>
    <row r="64" spans="1:13" ht="21" x14ac:dyDescent="0.2">
      <c r="A64" s="5"/>
      <c r="B64" s="33"/>
      <c r="C64" s="3"/>
      <c r="D64" s="3"/>
      <c r="E64" s="3"/>
      <c r="F64" s="3"/>
      <c r="G64" s="14"/>
      <c r="H64" s="14"/>
      <c r="I64" s="99"/>
      <c r="J64" s="177"/>
      <c r="K64" s="99"/>
      <c r="L64" s="6"/>
      <c r="M64" s="27"/>
    </row>
    <row r="65" spans="1:13" ht="84" x14ac:dyDescent="0.2">
      <c r="A65" s="5" t="s">
        <v>113</v>
      </c>
      <c r="B65" s="33" t="s">
        <v>317</v>
      </c>
      <c r="C65" s="3"/>
      <c r="D65" s="3"/>
      <c r="E65" s="3"/>
      <c r="F65" s="3"/>
      <c r="G65" s="3"/>
      <c r="H65" s="35"/>
      <c r="I65" s="99"/>
      <c r="J65" s="177">
        <v>0</v>
      </c>
      <c r="K65" s="99">
        <f>I65*H65</f>
        <v>0</v>
      </c>
      <c r="L65" s="6"/>
      <c r="M65" s="27"/>
    </row>
    <row r="66" spans="1:13" ht="42" x14ac:dyDescent="0.2">
      <c r="A66" s="5" t="s">
        <v>114</v>
      </c>
      <c r="B66" s="33" t="s">
        <v>111</v>
      </c>
      <c r="C66" s="3" t="s">
        <v>112</v>
      </c>
      <c r="D66" s="3"/>
      <c r="E66" s="3"/>
      <c r="F66" s="3"/>
      <c r="G66" s="3"/>
      <c r="H66" s="35"/>
      <c r="I66" s="99">
        <v>89.65</v>
      </c>
      <c r="J66" s="177">
        <v>90.716835000000003</v>
      </c>
      <c r="K66" s="99">
        <f>I66*H66</f>
        <v>0</v>
      </c>
      <c r="L66" s="6"/>
      <c r="M66" s="27"/>
    </row>
    <row r="67" spans="1:13" ht="210" x14ac:dyDescent="0.2">
      <c r="A67" s="68" t="s">
        <v>207</v>
      </c>
      <c r="B67" s="33" t="s">
        <v>208</v>
      </c>
      <c r="C67" s="3"/>
      <c r="D67" s="3"/>
      <c r="E67" s="3"/>
      <c r="F67" s="3"/>
      <c r="G67" s="3"/>
      <c r="H67" s="8"/>
      <c r="I67" s="99"/>
      <c r="J67" s="177"/>
      <c r="K67" s="99">
        <f>I67*H67</f>
        <v>0</v>
      </c>
      <c r="L67" s="6"/>
      <c r="M67" s="27"/>
    </row>
    <row r="68" spans="1:13" ht="21" x14ac:dyDescent="0.2">
      <c r="A68" s="69"/>
      <c r="B68" s="33"/>
      <c r="C68" s="3" t="s">
        <v>112</v>
      </c>
      <c r="D68" s="3"/>
      <c r="E68" s="3"/>
      <c r="F68" s="3"/>
      <c r="G68" s="3" t="s">
        <v>309</v>
      </c>
      <c r="H68" s="8"/>
      <c r="I68" s="99">
        <v>120</v>
      </c>
      <c r="J68" s="177">
        <v>147.84</v>
      </c>
      <c r="K68" s="99">
        <f>I68*H68</f>
        <v>0</v>
      </c>
      <c r="L68" s="6"/>
      <c r="M68" s="27"/>
    </row>
    <row r="69" spans="1:13" ht="21" x14ac:dyDescent="0.2">
      <c r="A69" s="69"/>
      <c r="B69" s="33"/>
      <c r="C69" s="3"/>
      <c r="D69" s="3"/>
      <c r="E69" s="3"/>
      <c r="F69" s="3"/>
      <c r="G69" s="3"/>
      <c r="H69" s="8"/>
      <c r="I69" s="99"/>
      <c r="J69" s="177"/>
      <c r="K69" s="99"/>
      <c r="L69" s="6"/>
      <c r="M69" s="27"/>
    </row>
    <row r="70" spans="1:13" ht="21" x14ac:dyDescent="0.2">
      <c r="A70" s="71">
        <v>5774</v>
      </c>
      <c r="B70" s="33" t="s">
        <v>210</v>
      </c>
      <c r="C70" s="3" t="s">
        <v>211</v>
      </c>
      <c r="D70" s="3"/>
      <c r="E70" s="3"/>
      <c r="F70" s="3"/>
      <c r="G70" s="3"/>
      <c r="H70" s="8"/>
      <c r="I70" s="99">
        <v>20</v>
      </c>
      <c r="J70" s="177">
        <v>28</v>
      </c>
      <c r="K70" s="99">
        <f t="shared" ref="K70:K76" si="1">I70*H70</f>
        <v>0</v>
      </c>
      <c r="L70" s="6"/>
      <c r="M70" s="27"/>
    </row>
    <row r="71" spans="1:13" ht="23.25" x14ac:dyDescent="0.2">
      <c r="A71" s="139">
        <v>1034</v>
      </c>
      <c r="B71" s="140" t="s">
        <v>205</v>
      </c>
      <c r="C71" s="141" t="s">
        <v>206</v>
      </c>
      <c r="D71" s="141"/>
      <c r="E71" s="142"/>
      <c r="F71" s="3"/>
      <c r="G71" s="3"/>
      <c r="H71" s="14"/>
      <c r="I71" s="179">
        <v>5200</v>
      </c>
      <c r="J71" s="177"/>
      <c r="K71" s="99">
        <f t="shared" si="1"/>
        <v>0</v>
      </c>
      <c r="L71" s="6"/>
      <c r="M71" s="27"/>
    </row>
    <row r="72" spans="1:13" ht="197.25" customHeight="1" x14ac:dyDescent="0.2">
      <c r="A72" s="70" t="s">
        <v>70</v>
      </c>
      <c r="B72" s="33" t="s">
        <v>212</v>
      </c>
      <c r="C72" s="1"/>
      <c r="D72" s="1"/>
      <c r="E72" s="1"/>
      <c r="F72" s="1"/>
      <c r="G72" s="1"/>
      <c r="H72" s="14"/>
      <c r="I72" s="99"/>
      <c r="J72" s="177"/>
      <c r="K72" s="99">
        <f t="shared" si="1"/>
        <v>0</v>
      </c>
      <c r="L72" s="6"/>
      <c r="M72" s="27"/>
    </row>
    <row r="73" spans="1:13" ht="21" x14ac:dyDescent="0.2">
      <c r="A73" s="70"/>
      <c r="B73" s="33" t="s">
        <v>213</v>
      </c>
      <c r="C73" s="1" t="s">
        <v>147</v>
      </c>
      <c r="D73" s="1"/>
      <c r="E73" s="1"/>
      <c r="F73" s="1"/>
      <c r="G73" s="1"/>
      <c r="H73" s="14"/>
      <c r="I73" s="99">
        <v>320</v>
      </c>
      <c r="J73" s="177">
        <v>557.76</v>
      </c>
      <c r="K73" s="99">
        <f t="shared" si="1"/>
        <v>0</v>
      </c>
      <c r="L73" s="6"/>
      <c r="M73" s="27"/>
    </row>
    <row r="74" spans="1:13" ht="21" x14ac:dyDescent="0.2">
      <c r="A74" s="70"/>
      <c r="B74" s="33" t="s">
        <v>214</v>
      </c>
      <c r="C74" s="1" t="s">
        <v>147</v>
      </c>
      <c r="D74" s="1"/>
      <c r="E74" s="1"/>
      <c r="F74" s="1"/>
      <c r="G74" s="1"/>
      <c r="H74" s="14"/>
      <c r="I74" s="99">
        <v>284</v>
      </c>
      <c r="J74" s="177">
        <v>557.74760000000003</v>
      </c>
      <c r="K74" s="99">
        <f t="shared" si="1"/>
        <v>0</v>
      </c>
      <c r="L74" s="6"/>
      <c r="M74" s="27"/>
    </row>
    <row r="75" spans="1:13" ht="21" x14ac:dyDescent="0.2">
      <c r="A75" s="70"/>
      <c r="B75" s="33" t="s">
        <v>215</v>
      </c>
      <c r="C75" s="1" t="s">
        <v>147</v>
      </c>
      <c r="D75" s="1"/>
      <c r="E75" s="1"/>
      <c r="F75" s="1"/>
      <c r="G75" s="1"/>
      <c r="H75" s="14">
        <f>E75</f>
        <v>0</v>
      </c>
      <c r="I75" s="99">
        <v>781</v>
      </c>
      <c r="J75" s="177">
        <v>798.57249999999999</v>
      </c>
      <c r="K75" s="99">
        <f t="shared" si="1"/>
        <v>0</v>
      </c>
      <c r="L75" s="6"/>
      <c r="M75" s="27"/>
    </row>
    <row r="76" spans="1:13" ht="81" x14ac:dyDescent="0.2">
      <c r="A76" s="70" t="s">
        <v>70</v>
      </c>
      <c r="B76" s="11" t="s">
        <v>216</v>
      </c>
      <c r="C76" s="12" t="s">
        <v>201</v>
      </c>
      <c r="D76" s="12"/>
      <c r="E76" s="12"/>
      <c r="F76" s="12"/>
      <c r="G76" s="12"/>
      <c r="H76" s="14">
        <f>PRODUCT(D76:G76)</f>
        <v>0</v>
      </c>
      <c r="I76" s="99">
        <v>680</v>
      </c>
      <c r="J76" s="177">
        <f>I76</f>
        <v>680</v>
      </c>
      <c r="K76" s="99">
        <f t="shared" si="1"/>
        <v>0</v>
      </c>
      <c r="L76" s="6"/>
      <c r="M76" s="27"/>
    </row>
    <row r="77" spans="1:13" ht="21" x14ac:dyDescent="0.2">
      <c r="A77" s="70"/>
      <c r="B77" s="11"/>
      <c r="C77" s="12"/>
      <c r="D77" s="12"/>
      <c r="E77" s="12"/>
      <c r="F77" s="12"/>
      <c r="G77" s="12"/>
      <c r="H77" s="14">
        <f>PRODUCT(D77:G77)</f>
        <v>0</v>
      </c>
      <c r="I77" s="99"/>
      <c r="J77" s="177"/>
      <c r="K77" s="99"/>
      <c r="L77" s="6"/>
      <c r="M77" s="27"/>
    </row>
    <row r="78" spans="1:13" ht="20.25" x14ac:dyDescent="0.3">
      <c r="A78" s="557"/>
      <c r="B78" s="557"/>
      <c r="C78" s="557"/>
      <c r="D78" s="557"/>
      <c r="E78" s="557"/>
      <c r="F78" s="557"/>
      <c r="G78" s="557"/>
      <c r="H78" s="557"/>
      <c r="I78" s="557"/>
      <c r="J78" s="180"/>
      <c r="K78" s="99">
        <f>SUM(K7:K77)</f>
        <v>6315428.6641639993</v>
      </c>
      <c r="L78" s="48"/>
      <c r="M78" s="27"/>
    </row>
    <row r="79" spans="1:13" ht="20.25" x14ac:dyDescent="0.2">
      <c r="A79" s="50"/>
      <c r="B79" s="51"/>
      <c r="C79" s="50"/>
      <c r="D79" s="50"/>
      <c r="E79" s="50"/>
      <c r="F79" s="50"/>
      <c r="G79" s="50"/>
      <c r="H79" s="52"/>
      <c r="I79" s="171"/>
      <c r="J79" s="181"/>
      <c r="K79" s="165"/>
      <c r="L79" s="6"/>
      <c r="M79" s="53"/>
    </row>
    <row r="80" spans="1:13" x14ac:dyDescent="0.2">
      <c r="B80" s="55"/>
      <c r="K80" s="166" t="s">
        <v>318</v>
      </c>
      <c r="M80" s="57"/>
    </row>
  </sheetData>
  <protectedRanges>
    <protectedRange sqref="M2" name="Range1"/>
  </protectedRanges>
  <autoFilter ref="A6:Q9"/>
  <mergeCells count="7">
    <mergeCell ref="B30:B31"/>
    <mergeCell ref="A78:I78"/>
    <mergeCell ref="A1:M1"/>
    <mergeCell ref="B2:K2"/>
    <mergeCell ref="L2:M2"/>
    <mergeCell ref="A3:M3"/>
    <mergeCell ref="A4:M4"/>
  </mergeCells>
  <phoneticPr fontId="1" type="noConversion"/>
  <conditionalFormatting sqref="B24">
    <cfRule type="cellIs" dxfId="42" priority="13" stopIfTrue="1" operator="equal">
      <formula>#REF!</formula>
    </cfRule>
  </conditionalFormatting>
  <conditionalFormatting sqref="B44:B47">
    <cfRule type="cellIs" dxfId="41" priority="1" stopIfTrue="1" operator="equal">
      <formula>#REF!</formula>
    </cfRule>
  </conditionalFormatting>
  <conditionalFormatting sqref="B71">
    <cfRule type="cellIs" dxfId="40" priority="3" stopIfTrue="1" operator="equal">
      <formula>#REF!</formula>
    </cfRule>
  </conditionalFormatting>
  <conditionalFormatting sqref="B76:B77">
    <cfRule type="cellIs" dxfId="39" priority="9" stopIfTrue="1" operator="equal">
      <formula>#REF!</formula>
    </cfRule>
  </conditionalFormatting>
  <conditionalFormatting sqref="C72:G75">
    <cfRule type="cellIs" dxfId="38" priority="16" stopIfTrue="1" operator="equal">
      <formula>#REF!</formula>
    </cfRule>
  </conditionalFormatting>
  <pageMargins left="0.7" right="0.7" top="0.75" bottom="0.75" header="0.3" footer="0.3"/>
  <pageSetup scale="10"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M91"/>
  <sheetViews>
    <sheetView view="pageBreakPreview" zoomScale="60" zoomScaleNormal="60" workbookViewId="0">
      <selection activeCell="I8" sqref="I8"/>
    </sheetView>
  </sheetViews>
  <sheetFormatPr defaultColWidth="9.140625" defaultRowHeight="12.75" x14ac:dyDescent="0.2"/>
  <cols>
    <col min="1" max="1" width="13.85546875" style="7" customWidth="1"/>
    <col min="2" max="2" width="76.28515625" style="55" customWidth="1"/>
    <col min="3" max="7" width="14.42578125" style="7" customWidth="1"/>
    <col min="8" max="8" width="21.85546875" style="56" customWidth="1"/>
    <col min="9" max="9" width="16.28515625" style="166" customWidth="1"/>
    <col min="10" max="10" width="15" style="182" hidden="1" customWidth="1"/>
    <col min="11" max="11" width="26.42578125" style="166" customWidth="1"/>
    <col min="12" max="12" width="32" style="7" customWidth="1"/>
    <col min="13" max="13" width="40.7109375" style="7" customWidth="1"/>
    <col min="14" max="14" width="9.140625" style="7" customWidth="1"/>
    <col min="15" max="16384" width="9.140625" style="7"/>
  </cols>
  <sheetData>
    <row r="1" spans="1:13" ht="195.75" customHeight="1" x14ac:dyDescent="0.2">
      <c r="A1" s="559"/>
      <c r="B1" s="559"/>
      <c r="C1" s="559"/>
      <c r="D1" s="559"/>
      <c r="E1" s="559"/>
      <c r="F1" s="559"/>
      <c r="G1" s="559"/>
      <c r="H1" s="559"/>
      <c r="I1" s="559"/>
      <c r="J1" s="559"/>
      <c r="K1" s="559"/>
      <c r="L1" s="559"/>
      <c r="M1" s="560"/>
    </row>
    <row r="2" spans="1:13" ht="54" customHeight="1" x14ac:dyDescent="0.2">
      <c r="A2" s="162"/>
      <c r="B2" s="563" t="s">
        <v>13</v>
      </c>
      <c r="C2" s="564"/>
      <c r="D2" s="564"/>
      <c r="E2" s="564"/>
      <c r="F2" s="564"/>
      <c r="G2" s="564"/>
      <c r="H2" s="564"/>
      <c r="I2" s="564"/>
      <c r="J2" s="564"/>
      <c r="K2" s="565"/>
      <c r="L2" s="566" t="s">
        <v>14</v>
      </c>
      <c r="M2" s="567"/>
    </row>
    <row r="3" spans="1:13" ht="60.75" x14ac:dyDescent="0.2">
      <c r="A3" s="64" t="s">
        <v>17</v>
      </c>
      <c r="B3" s="18" t="s">
        <v>18</v>
      </c>
      <c r="C3" s="19" t="s">
        <v>19</v>
      </c>
      <c r="D3" s="20" t="s">
        <v>180</v>
      </c>
      <c r="E3" s="20" t="s">
        <v>302</v>
      </c>
      <c r="F3" s="20" t="s">
        <v>303</v>
      </c>
      <c r="G3" s="20" t="s">
        <v>304</v>
      </c>
      <c r="H3" s="21" t="s">
        <v>305</v>
      </c>
      <c r="I3" s="170" t="s">
        <v>37</v>
      </c>
      <c r="J3" s="175" t="s">
        <v>306</v>
      </c>
      <c r="K3" s="21" t="s">
        <v>38</v>
      </c>
      <c r="L3" s="22" t="s">
        <v>39</v>
      </c>
      <c r="M3" s="23" t="s">
        <v>40</v>
      </c>
    </row>
    <row r="4" spans="1:13" ht="22.5" x14ac:dyDescent="0.2">
      <c r="A4" s="65"/>
      <c r="B4" s="25"/>
      <c r="C4" s="20"/>
      <c r="D4" s="20"/>
      <c r="E4" s="20"/>
      <c r="F4" s="20"/>
      <c r="G4" s="20"/>
      <c r="H4" s="26"/>
      <c r="I4" s="101"/>
      <c r="J4" s="176"/>
      <c r="K4" s="26"/>
      <c r="L4" s="6"/>
      <c r="M4" s="27"/>
    </row>
    <row r="5" spans="1:13" ht="147" customHeight="1" x14ac:dyDescent="0.2">
      <c r="A5" s="5">
        <v>2.6</v>
      </c>
      <c r="B5" s="33" t="s">
        <v>41</v>
      </c>
      <c r="C5" s="3"/>
      <c r="D5" s="3"/>
      <c r="E5" s="3"/>
      <c r="F5" s="3"/>
      <c r="G5" s="3"/>
      <c r="H5" s="14"/>
      <c r="I5" s="99"/>
      <c r="J5" s="177"/>
      <c r="K5" s="99"/>
      <c r="L5" s="6"/>
      <c r="M5" s="27"/>
    </row>
    <row r="6" spans="1:13" ht="21" x14ac:dyDescent="0.2">
      <c r="A6" s="5"/>
      <c r="B6" s="33" t="s">
        <v>42</v>
      </c>
      <c r="C6" s="3" t="s">
        <v>43</v>
      </c>
      <c r="D6" s="3"/>
      <c r="E6" s="3"/>
      <c r="F6" s="3"/>
      <c r="G6" s="3"/>
      <c r="H6" s="14">
        <f>SUM(H7:H8)</f>
        <v>86.00533333333334</v>
      </c>
      <c r="I6" s="99">
        <v>205.45</v>
      </c>
      <c r="J6" s="177">
        <v>215.04451499999999</v>
      </c>
      <c r="K6" s="99">
        <f>I6*H6</f>
        <v>17669.795733333332</v>
      </c>
      <c r="L6" s="6"/>
      <c r="M6" s="27"/>
    </row>
    <row r="7" spans="1:13" ht="21" x14ac:dyDescent="0.2">
      <c r="A7" s="5"/>
      <c r="B7" s="33"/>
      <c r="C7" s="3"/>
      <c r="D7" s="14">
        <f>(1466/4.5)</f>
        <v>325.77777777777777</v>
      </c>
      <c r="E7" s="14">
        <f>0.3+0.3</f>
        <v>0.6</v>
      </c>
      <c r="F7" s="2">
        <f>0.25+0.3</f>
        <v>0.55000000000000004</v>
      </c>
      <c r="G7" s="14">
        <v>0.8</v>
      </c>
      <c r="H7" s="14">
        <f>PRODUCT(D7:G7)</f>
        <v>86.00533333333334</v>
      </c>
      <c r="I7" s="99"/>
      <c r="J7" s="177"/>
      <c r="K7" s="99"/>
      <c r="L7" s="6"/>
      <c r="M7" s="27"/>
    </row>
    <row r="8" spans="1:13" ht="21" x14ac:dyDescent="0.2">
      <c r="A8" s="5"/>
      <c r="B8" s="33"/>
      <c r="C8" s="3"/>
      <c r="D8" s="14"/>
      <c r="E8" s="14"/>
      <c r="F8" s="14"/>
      <c r="G8" s="14"/>
      <c r="H8" s="14"/>
      <c r="I8" s="99"/>
      <c r="J8" s="177"/>
      <c r="K8" s="99"/>
      <c r="L8" s="6"/>
      <c r="M8" s="27"/>
    </row>
    <row r="9" spans="1:13" ht="126" customHeight="1" x14ac:dyDescent="0.2">
      <c r="A9" s="5">
        <v>2.7</v>
      </c>
      <c r="B9" s="33" t="s">
        <v>44</v>
      </c>
      <c r="C9" s="3"/>
      <c r="D9" s="3"/>
      <c r="E9" s="3"/>
      <c r="F9" s="3"/>
      <c r="G9" s="14"/>
      <c r="H9" s="14"/>
      <c r="I9" s="99"/>
      <c r="J9" s="99">
        <v>0</v>
      </c>
      <c r="K9" s="99">
        <f t="shared" ref="K9:K17" si="0">I9*H9</f>
        <v>0</v>
      </c>
      <c r="L9" s="6"/>
      <c r="M9" s="27"/>
    </row>
    <row r="10" spans="1:13" ht="81" customHeight="1" x14ac:dyDescent="0.2">
      <c r="A10" s="5" t="s">
        <v>45</v>
      </c>
      <c r="B10" s="33" t="s">
        <v>46</v>
      </c>
      <c r="C10" s="3" t="s">
        <v>43</v>
      </c>
      <c r="D10" s="3"/>
      <c r="E10" s="3"/>
      <c r="F10" s="3"/>
      <c r="G10" s="3"/>
      <c r="H10" s="14">
        <f>H6</f>
        <v>86.00533333333334</v>
      </c>
      <c r="I10" s="99">
        <v>412.95</v>
      </c>
      <c r="J10" s="177">
        <v>215.023065</v>
      </c>
      <c r="K10" s="99">
        <f t="shared" si="0"/>
        <v>35515.902399999999</v>
      </c>
      <c r="L10" s="6"/>
      <c r="M10" s="27"/>
    </row>
    <row r="11" spans="1:13" ht="60.75" x14ac:dyDescent="0.2">
      <c r="A11" s="29">
        <v>2.2599999999999998</v>
      </c>
      <c r="B11" s="30" t="s">
        <v>47</v>
      </c>
      <c r="C11" s="31"/>
      <c r="D11" s="31"/>
      <c r="E11" s="31"/>
      <c r="F11" s="31"/>
      <c r="G11" s="31"/>
      <c r="H11" s="14"/>
      <c r="I11" s="99"/>
      <c r="J11" s="177">
        <v>0</v>
      </c>
      <c r="K11" s="99">
        <f t="shared" si="0"/>
        <v>0</v>
      </c>
      <c r="L11" s="6"/>
      <c r="M11" s="27"/>
    </row>
    <row r="12" spans="1:13" ht="20.25" x14ac:dyDescent="0.2">
      <c r="A12" s="29" t="s">
        <v>48</v>
      </c>
      <c r="B12" s="30" t="s">
        <v>49</v>
      </c>
      <c r="C12" s="31" t="s">
        <v>50</v>
      </c>
      <c r="D12" s="31"/>
      <c r="E12" s="31"/>
      <c r="F12" s="31"/>
      <c r="G12" s="31"/>
      <c r="H12" s="14"/>
      <c r="I12" s="178">
        <v>105</v>
      </c>
      <c r="J12" s="177">
        <v>91.845050000000001</v>
      </c>
      <c r="K12" s="99">
        <f t="shared" si="0"/>
        <v>0</v>
      </c>
      <c r="L12" s="6"/>
      <c r="M12" s="27"/>
    </row>
    <row r="13" spans="1:13" ht="20.25" x14ac:dyDescent="0.2">
      <c r="A13" s="29" t="s">
        <v>51</v>
      </c>
      <c r="B13" s="30" t="s">
        <v>52</v>
      </c>
      <c r="C13" s="31" t="s">
        <v>50</v>
      </c>
      <c r="D13" s="31"/>
      <c r="E13" s="31"/>
      <c r="F13" s="31"/>
      <c r="G13" s="31"/>
      <c r="H13" s="14"/>
      <c r="I13" s="178">
        <v>187</v>
      </c>
      <c r="J13" s="177">
        <v>182.56507999999999</v>
      </c>
      <c r="K13" s="99">
        <f t="shared" si="0"/>
        <v>0</v>
      </c>
      <c r="L13" s="6"/>
      <c r="M13" s="27"/>
    </row>
    <row r="14" spans="1:13" ht="189" x14ac:dyDescent="0.2">
      <c r="A14" s="5">
        <v>2.13</v>
      </c>
      <c r="B14" s="33" t="s">
        <v>53</v>
      </c>
      <c r="C14" s="3"/>
      <c r="D14" s="3"/>
      <c r="E14" s="3"/>
      <c r="F14" s="3"/>
      <c r="G14" s="3"/>
      <c r="H14" s="14"/>
      <c r="I14" s="99"/>
      <c r="J14" s="177">
        <v>0</v>
      </c>
      <c r="K14" s="99">
        <f t="shared" si="0"/>
        <v>0</v>
      </c>
      <c r="L14" s="6"/>
      <c r="M14" s="27"/>
    </row>
    <row r="15" spans="1:13" ht="42" x14ac:dyDescent="0.2">
      <c r="A15" s="5" t="s">
        <v>54</v>
      </c>
      <c r="B15" s="33" t="s">
        <v>55</v>
      </c>
      <c r="C15" s="3" t="s">
        <v>56</v>
      </c>
      <c r="D15" s="3"/>
      <c r="E15" s="3"/>
      <c r="F15" s="3"/>
      <c r="G15" s="3"/>
      <c r="H15" s="14"/>
      <c r="I15" s="99">
        <v>933.35</v>
      </c>
      <c r="J15" s="177">
        <v>616.01099999999997</v>
      </c>
      <c r="K15" s="99">
        <f t="shared" si="0"/>
        <v>0</v>
      </c>
      <c r="L15" s="6"/>
      <c r="M15" s="27"/>
    </row>
    <row r="16" spans="1:13" ht="42" x14ac:dyDescent="0.2">
      <c r="A16" s="5" t="s">
        <v>57</v>
      </c>
      <c r="B16" s="33" t="s">
        <v>58</v>
      </c>
      <c r="C16" s="3" t="s">
        <v>56</v>
      </c>
      <c r="D16" s="3"/>
      <c r="E16" s="3"/>
      <c r="F16" s="3"/>
      <c r="G16" s="3"/>
      <c r="H16" s="14"/>
      <c r="I16" s="99">
        <v>1074</v>
      </c>
      <c r="J16" s="177">
        <v>873.59159999999997</v>
      </c>
      <c r="K16" s="99">
        <f t="shared" si="0"/>
        <v>0</v>
      </c>
      <c r="L16" s="6"/>
      <c r="M16" s="27"/>
    </row>
    <row r="17" spans="1:13" ht="105" x14ac:dyDescent="0.2">
      <c r="A17" s="5">
        <v>2.25</v>
      </c>
      <c r="B17" s="33" t="s">
        <v>59</v>
      </c>
      <c r="C17" s="3" t="s">
        <v>60</v>
      </c>
      <c r="D17" s="3"/>
      <c r="E17" s="3"/>
      <c r="F17" s="3"/>
      <c r="G17" s="3"/>
      <c r="H17" s="14">
        <f>SUM(H18:H21)</f>
        <v>59.128666666666668</v>
      </c>
      <c r="I17" s="99">
        <v>253.95</v>
      </c>
      <c r="J17" s="177">
        <v>182.56465499999999</v>
      </c>
      <c r="K17" s="99">
        <f t="shared" si="0"/>
        <v>15015.724899999999</v>
      </c>
      <c r="L17" s="6"/>
      <c r="M17" s="27"/>
    </row>
    <row r="18" spans="1:13" ht="21" x14ac:dyDescent="0.2">
      <c r="A18" s="5"/>
      <c r="B18" s="33"/>
      <c r="C18" s="3"/>
      <c r="D18" s="3"/>
      <c r="E18" s="3"/>
      <c r="F18" s="3"/>
      <c r="G18" s="14">
        <f>H6</f>
        <v>86.00533333333334</v>
      </c>
      <c r="H18" s="14">
        <f>PRODUCT(G18)</f>
        <v>86.00533333333334</v>
      </c>
      <c r="I18" s="99"/>
      <c r="J18" s="177"/>
      <c r="K18" s="99"/>
      <c r="L18" s="6"/>
      <c r="M18" s="27"/>
    </row>
    <row r="19" spans="1:13" ht="21" x14ac:dyDescent="0.2">
      <c r="A19" s="5"/>
      <c r="B19" s="33" t="s">
        <v>337</v>
      </c>
      <c r="C19" s="3"/>
      <c r="D19" s="3"/>
      <c r="E19" s="3"/>
      <c r="F19" s="3"/>
      <c r="G19" s="14">
        <f>-H37</f>
        <v>-7.3300000000000018</v>
      </c>
      <c r="H19" s="14">
        <f>PRODUCT(G19)</f>
        <v>-7.3300000000000018</v>
      </c>
      <c r="I19" s="99"/>
      <c r="J19" s="177"/>
      <c r="K19" s="99"/>
      <c r="L19" s="6"/>
      <c r="M19" s="27"/>
    </row>
    <row r="20" spans="1:13" ht="21" x14ac:dyDescent="0.2">
      <c r="A20" s="5"/>
      <c r="B20" s="33" t="s">
        <v>338</v>
      </c>
      <c r="C20" s="3"/>
      <c r="D20" s="3"/>
      <c r="E20" s="3"/>
      <c r="F20" s="3"/>
      <c r="G20" s="14">
        <f>-H66</f>
        <v>-19.546666666666674</v>
      </c>
      <c r="H20" s="14">
        <f>PRODUCT(G20)</f>
        <v>-19.546666666666674</v>
      </c>
      <c r="I20" s="99"/>
      <c r="J20" s="177"/>
      <c r="K20" s="99"/>
      <c r="L20" s="6"/>
      <c r="M20" s="27"/>
    </row>
    <row r="21" spans="1:13" ht="21" x14ac:dyDescent="0.2">
      <c r="A21" s="5"/>
      <c r="B21" s="33" t="s">
        <v>339</v>
      </c>
      <c r="C21" s="3"/>
      <c r="D21" s="3"/>
      <c r="E21" s="3"/>
      <c r="F21" s="3"/>
      <c r="G21" s="14"/>
      <c r="H21" s="14">
        <f>PRODUCT(G21)</f>
        <v>0</v>
      </c>
      <c r="I21" s="99"/>
      <c r="J21" s="177"/>
      <c r="K21" s="99"/>
      <c r="L21" s="6"/>
      <c r="M21" s="27"/>
    </row>
    <row r="22" spans="1:13" ht="84" x14ac:dyDescent="0.2">
      <c r="A22" s="5">
        <v>1.1000000000000001</v>
      </c>
      <c r="B22" s="33" t="s">
        <v>61</v>
      </c>
      <c r="C22" s="6"/>
      <c r="D22" s="6"/>
      <c r="E22" s="6"/>
      <c r="F22" s="6"/>
      <c r="G22" s="6"/>
      <c r="H22" s="14"/>
      <c r="I22" s="99"/>
      <c r="J22" s="177">
        <v>0</v>
      </c>
      <c r="K22" s="99">
        <f>I22*H22</f>
        <v>0</v>
      </c>
      <c r="L22" s="6"/>
      <c r="M22" s="27"/>
    </row>
    <row r="23" spans="1:13" ht="21" x14ac:dyDescent="0.2">
      <c r="A23" s="5" t="s">
        <v>62</v>
      </c>
      <c r="B23" s="33" t="s">
        <v>63</v>
      </c>
      <c r="C23" s="3" t="s">
        <v>60</v>
      </c>
      <c r="D23" s="3"/>
      <c r="E23" s="3"/>
      <c r="F23" s="3"/>
      <c r="G23" s="3"/>
      <c r="H23" s="14">
        <f>H6-H17</f>
        <v>26.876666666666672</v>
      </c>
      <c r="I23" s="99">
        <v>271.45</v>
      </c>
      <c r="J23" s="177">
        <v>98.563495000000003</v>
      </c>
      <c r="K23" s="99">
        <f>I23*H23</f>
        <v>7295.6711666666679</v>
      </c>
      <c r="L23" s="6"/>
      <c r="M23" s="27"/>
    </row>
    <row r="24" spans="1:13" ht="21" x14ac:dyDescent="0.2">
      <c r="A24" s="5" t="s">
        <v>64</v>
      </c>
      <c r="B24" s="33" t="s">
        <v>65</v>
      </c>
      <c r="C24" s="3" t="s">
        <v>60</v>
      </c>
      <c r="D24" s="3"/>
      <c r="E24" s="3"/>
      <c r="F24" s="3"/>
      <c r="G24" s="3"/>
      <c r="H24" s="14"/>
      <c r="I24" s="99">
        <v>434.32</v>
      </c>
      <c r="J24" s="177">
        <v>147.84252799999999</v>
      </c>
      <c r="K24" s="99">
        <f>I24*H24</f>
        <v>0</v>
      </c>
      <c r="L24" s="6"/>
      <c r="M24" s="27"/>
    </row>
    <row r="25" spans="1:13" ht="182.25" x14ac:dyDescent="0.2">
      <c r="A25" s="32">
        <v>810</v>
      </c>
      <c r="B25" s="15" t="s">
        <v>308</v>
      </c>
      <c r="C25" s="3"/>
      <c r="D25" s="3"/>
      <c r="E25" s="3"/>
      <c r="F25" s="3"/>
      <c r="G25" s="3"/>
      <c r="H25" s="14"/>
      <c r="I25" s="99"/>
      <c r="J25" s="177">
        <v>0</v>
      </c>
      <c r="K25" s="99">
        <f>I25*H25</f>
        <v>0</v>
      </c>
      <c r="L25" s="6"/>
      <c r="M25" s="27"/>
    </row>
    <row r="26" spans="1:13" ht="21" x14ac:dyDescent="0.2">
      <c r="A26" s="32">
        <v>810</v>
      </c>
      <c r="B26" s="33" t="s">
        <v>66</v>
      </c>
      <c r="C26" s="3" t="s">
        <v>60</v>
      </c>
      <c r="D26" s="3"/>
      <c r="E26" s="3"/>
      <c r="F26" s="3"/>
      <c r="G26" s="3"/>
      <c r="H26" s="14">
        <f>SUM(H27:H28)</f>
        <v>0</v>
      </c>
      <c r="I26" s="99">
        <v>500</v>
      </c>
      <c r="J26" s="177">
        <v>730.25</v>
      </c>
      <c r="K26" s="99">
        <f>I26*H26</f>
        <v>0</v>
      </c>
      <c r="L26" s="6"/>
      <c r="M26" s="27"/>
    </row>
    <row r="27" spans="1:13" ht="21" x14ac:dyDescent="0.2">
      <c r="A27" s="32"/>
      <c r="B27" s="33"/>
      <c r="C27" s="3"/>
      <c r="D27" s="3"/>
      <c r="E27" s="3"/>
      <c r="F27" s="3"/>
      <c r="G27" s="3"/>
      <c r="H27" s="14">
        <f>PRODUCT(D27:G27)</f>
        <v>0</v>
      </c>
      <c r="I27" s="99"/>
      <c r="J27" s="177"/>
      <c r="K27" s="99"/>
      <c r="L27" s="6"/>
      <c r="M27" s="27"/>
    </row>
    <row r="28" spans="1:13" ht="21" x14ac:dyDescent="0.2">
      <c r="A28" s="32"/>
      <c r="B28" s="33"/>
      <c r="C28" s="3"/>
      <c r="D28" s="3"/>
      <c r="E28" s="3"/>
      <c r="F28" s="3"/>
      <c r="G28" s="3"/>
      <c r="H28" s="14"/>
      <c r="I28" s="99"/>
      <c r="J28" s="177"/>
      <c r="K28" s="99"/>
      <c r="L28" s="6"/>
      <c r="M28" s="27"/>
    </row>
    <row r="29" spans="1:13" ht="21" x14ac:dyDescent="0.2">
      <c r="A29" s="32">
        <v>982</v>
      </c>
      <c r="B29" s="33" t="s">
        <v>68</v>
      </c>
      <c r="C29" s="3" t="s">
        <v>60</v>
      </c>
      <c r="D29" s="3"/>
      <c r="E29" s="3"/>
      <c r="F29" s="3"/>
      <c r="G29" s="3"/>
      <c r="H29" s="14"/>
      <c r="I29" s="99">
        <v>1500</v>
      </c>
      <c r="J29" s="177">
        <v>3024</v>
      </c>
      <c r="K29" s="99">
        <f>I29*H29</f>
        <v>0</v>
      </c>
      <c r="L29" s="6"/>
      <c r="M29" s="27"/>
    </row>
    <row r="30" spans="1:13" ht="21" x14ac:dyDescent="0.2">
      <c r="A30" s="5"/>
      <c r="B30" s="33" t="s">
        <v>69</v>
      </c>
      <c r="C30" s="3"/>
      <c r="D30" s="3"/>
      <c r="E30" s="3"/>
      <c r="F30" s="3"/>
      <c r="G30" s="3"/>
      <c r="H30" s="14"/>
      <c r="I30" s="99"/>
      <c r="J30" s="177"/>
      <c r="K30" s="99">
        <f>I30*H30</f>
        <v>0</v>
      </c>
      <c r="L30" s="6"/>
      <c r="M30" s="27"/>
    </row>
    <row r="31" spans="1:13" ht="22.5" customHeight="1" x14ac:dyDescent="0.2">
      <c r="A31" s="5" t="s">
        <v>70</v>
      </c>
      <c r="B31" s="571" t="s">
        <v>71</v>
      </c>
      <c r="C31" s="14"/>
      <c r="D31" s="14"/>
      <c r="E31" s="14"/>
      <c r="F31" s="14"/>
      <c r="G31" s="14"/>
      <c r="H31" s="14"/>
      <c r="I31" s="99"/>
      <c r="J31" s="177"/>
      <c r="K31" s="99">
        <f>I31*H31</f>
        <v>0</v>
      </c>
      <c r="L31" s="6"/>
      <c r="M31" s="27"/>
    </row>
    <row r="32" spans="1:13" ht="21" x14ac:dyDescent="0.2">
      <c r="A32" s="5"/>
      <c r="B32" s="571"/>
      <c r="C32" s="14"/>
      <c r="D32" s="14"/>
      <c r="E32" s="14"/>
      <c r="F32" s="14"/>
      <c r="G32" s="14"/>
      <c r="H32" s="14"/>
      <c r="I32" s="99"/>
      <c r="J32" s="177">
        <v>0</v>
      </c>
      <c r="K32" s="99">
        <f>I32*H32</f>
        <v>0</v>
      </c>
      <c r="L32" s="6"/>
      <c r="M32" s="27"/>
    </row>
    <row r="33" spans="1:13" ht="21" x14ac:dyDescent="0.2">
      <c r="A33" s="5"/>
      <c r="B33" s="33" t="s">
        <v>72</v>
      </c>
      <c r="C33" s="3" t="s">
        <v>73</v>
      </c>
      <c r="D33" s="3"/>
      <c r="E33" s="3"/>
      <c r="F33" s="3"/>
      <c r="G33" s="3" t="s">
        <v>309</v>
      </c>
      <c r="H33" s="14">
        <f>SUM(H34:H35)</f>
        <v>0</v>
      </c>
      <c r="I33" s="99">
        <v>53</v>
      </c>
      <c r="J33" s="177">
        <v>110.8813</v>
      </c>
      <c r="K33" s="99">
        <f>I33*H33</f>
        <v>0</v>
      </c>
      <c r="L33" s="6"/>
      <c r="M33" s="27"/>
    </row>
    <row r="34" spans="1:13" ht="21" x14ac:dyDescent="0.2">
      <c r="A34" s="5"/>
      <c r="B34" s="33"/>
      <c r="C34" s="3"/>
      <c r="D34" s="3"/>
      <c r="E34" s="3"/>
      <c r="F34" s="3"/>
      <c r="G34" s="3"/>
      <c r="H34" s="14">
        <f>PRODUCT(D34:G34)</f>
        <v>0</v>
      </c>
      <c r="I34" s="99"/>
      <c r="J34" s="177"/>
      <c r="K34" s="99"/>
      <c r="L34" s="6"/>
      <c r="M34" s="27"/>
    </row>
    <row r="35" spans="1:13" ht="21" x14ac:dyDescent="0.2">
      <c r="A35" s="5"/>
      <c r="B35" s="33"/>
      <c r="C35" s="3"/>
      <c r="D35" s="3"/>
      <c r="E35" s="3"/>
      <c r="F35" s="3"/>
      <c r="G35" s="3"/>
      <c r="H35" s="14">
        <f>PRODUCT(D35:G35)</f>
        <v>0</v>
      </c>
      <c r="I35" s="99"/>
      <c r="J35" s="177"/>
      <c r="K35" s="99"/>
      <c r="L35" s="6"/>
      <c r="M35" s="27"/>
    </row>
    <row r="36" spans="1:13" ht="63" x14ac:dyDescent="0.2">
      <c r="A36" s="5">
        <v>4.0999999999999996</v>
      </c>
      <c r="B36" s="33" t="s">
        <v>74</v>
      </c>
      <c r="C36" s="3"/>
      <c r="D36" s="3"/>
      <c r="E36" s="3"/>
      <c r="F36" s="3"/>
      <c r="G36" s="3"/>
      <c r="H36" s="14"/>
      <c r="I36" s="99"/>
      <c r="J36" s="177"/>
      <c r="K36" s="99">
        <f>I36*H36</f>
        <v>0</v>
      </c>
      <c r="L36" s="6"/>
      <c r="M36" s="27"/>
    </row>
    <row r="37" spans="1:13" ht="84" x14ac:dyDescent="0.2">
      <c r="A37" s="5" t="s">
        <v>75</v>
      </c>
      <c r="B37" s="33" t="s">
        <v>76</v>
      </c>
      <c r="C37" s="3" t="s">
        <v>43</v>
      </c>
      <c r="D37" s="3"/>
      <c r="E37" s="3"/>
      <c r="F37" s="3"/>
      <c r="G37" s="3" t="s">
        <v>309</v>
      </c>
      <c r="H37" s="14">
        <f>SUM(H38:H39)</f>
        <v>7.3300000000000018</v>
      </c>
      <c r="I37" s="99">
        <v>6833.4</v>
      </c>
      <c r="J37" s="177">
        <v>4811.3969399999996</v>
      </c>
      <c r="K37" s="99">
        <f>I37*H37</f>
        <v>50088.822000000007</v>
      </c>
      <c r="L37" s="6"/>
      <c r="M37" s="27"/>
    </row>
    <row r="38" spans="1:13" ht="21" x14ac:dyDescent="0.2">
      <c r="A38" s="5"/>
      <c r="B38" s="33" t="s">
        <v>332</v>
      </c>
      <c r="C38" s="3"/>
      <c r="D38" s="14">
        <f>D7</f>
        <v>325.77777777777777</v>
      </c>
      <c r="E38" s="14">
        <f>E7-0.3+0.2</f>
        <v>0.5</v>
      </c>
      <c r="F38" s="2">
        <f>F7-0.3+0.2</f>
        <v>0.45000000000000007</v>
      </c>
      <c r="G38" s="14">
        <v>0.1</v>
      </c>
      <c r="H38" s="14">
        <f>PRODUCT(D38:G38)</f>
        <v>7.3300000000000018</v>
      </c>
      <c r="I38" s="99"/>
      <c r="J38" s="177"/>
      <c r="K38" s="99"/>
      <c r="L38" s="6"/>
      <c r="M38" s="27"/>
    </row>
    <row r="39" spans="1:13" ht="21" x14ac:dyDescent="0.2">
      <c r="A39" s="5"/>
      <c r="B39" s="33"/>
      <c r="C39" s="3"/>
      <c r="D39" s="14"/>
      <c r="E39" s="14"/>
      <c r="F39" s="3"/>
      <c r="G39" s="34"/>
      <c r="H39" s="14"/>
      <c r="I39" s="99"/>
      <c r="J39" s="177"/>
      <c r="K39" s="99"/>
      <c r="L39" s="6"/>
      <c r="M39" s="27"/>
    </row>
    <row r="40" spans="1:13" ht="189" x14ac:dyDescent="0.2">
      <c r="A40" s="5">
        <v>16.79</v>
      </c>
      <c r="B40" s="33" t="s">
        <v>77</v>
      </c>
      <c r="C40" s="3" t="s">
        <v>43</v>
      </c>
      <c r="D40" s="3"/>
      <c r="E40" s="3"/>
      <c r="F40" s="3"/>
      <c r="G40" s="3" t="s">
        <v>309</v>
      </c>
      <c r="H40" s="14">
        <f>SUM(H41:H42)</f>
        <v>0</v>
      </c>
      <c r="I40" s="99">
        <v>2803.65</v>
      </c>
      <c r="J40" s="177">
        <v>1985.8252950000001</v>
      </c>
      <c r="K40" s="99">
        <f>I40*H40</f>
        <v>0</v>
      </c>
      <c r="L40" s="6"/>
      <c r="M40" s="27"/>
    </row>
    <row r="41" spans="1:13" ht="21" x14ac:dyDescent="0.2">
      <c r="A41" s="5"/>
      <c r="B41" s="33"/>
      <c r="C41" s="3"/>
      <c r="D41" s="3"/>
      <c r="E41" s="3"/>
      <c r="F41" s="3"/>
      <c r="G41" s="3"/>
      <c r="H41" s="14">
        <f>PRODUCT(D41:G41)</f>
        <v>0</v>
      </c>
      <c r="I41" s="99"/>
      <c r="J41" s="177"/>
      <c r="K41" s="99"/>
      <c r="L41" s="6"/>
      <c r="M41" s="27"/>
    </row>
    <row r="42" spans="1:13" ht="21" x14ac:dyDescent="0.2">
      <c r="A42" s="5"/>
      <c r="B42" s="33"/>
      <c r="C42" s="3"/>
      <c r="D42" s="3"/>
      <c r="E42" s="3"/>
      <c r="F42" s="3"/>
      <c r="G42" s="3"/>
      <c r="H42" s="14"/>
      <c r="I42" s="99"/>
      <c r="J42" s="177"/>
      <c r="K42" s="99"/>
      <c r="L42" s="6"/>
      <c r="M42" s="27"/>
    </row>
    <row r="43" spans="1:13" ht="42" x14ac:dyDescent="0.2">
      <c r="A43" s="5" t="s">
        <v>78</v>
      </c>
      <c r="B43" s="33" t="s">
        <v>79</v>
      </c>
      <c r="C43" s="3" t="s">
        <v>73</v>
      </c>
      <c r="D43" s="3"/>
      <c r="E43" s="3"/>
      <c r="F43" s="3"/>
      <c r="G43" s="3"/>
      <c r="H43" s="14"/>
      <c r="I43" s="99">
        <v>120</v>
      </c>
      <c r="J43" s="177">
        <v>151.19999999999999</v>
      </c>
      <c r="K43" s="99">
        <f>I43*H43</f>
        <v>0</v>
      </c>
      <c r="L43" s="6"/>
      <c r="M43" s="27"/>
    </row>
    <row r="44" spans="1:13" ht="42" x14ac:dyDescent="0.2">
      <c r="A44" s="5">
        <v>5.9</v>
      </c>
      <c r="B44" s="33" t="s">
        <v>80</v>
      </c>
      <c r="C44" s="3"/>
      <c r="D44" s="3"/>
      <c r="E44" s="3"/>
      <c r="F44" s="3"/>
      <c r="G44" s="3"/>
      <c r="H44" s="14"/>
      <c r="I44" s="99"/>
      <c r="J44" s="177"/>
      <c r="K44" s="99">
        <f>I44*H44</f>
        <v>0</v>
      </c>
      <c r="L44" s="6"/>
      <c r="M44" s="27"/>
    </row>
    <row r="45" spans="1:13" ht="84" x14ac:dyDescent="0.2">
      <c r="A45" s="5" t="s">
        <v>81</v>
      </c>
      <c r="B45" s="33" t="s">
        <v>310</v>
      </c>
      <c r="C45" s="3" t="s">
        <v>73</v>
      </c>
      <c r="D45" s="3"/>
      <c r="E45" s="3"/>
      <c r="F45" s="3"/>
      <c r="G45" s="3" t="s">
        <v>309</v>
      </c>
      <c r="H45" s="14">
        <f>SUM(H46:H47)</f>
        <v>286.68444444444447</v>
      </c>
      <c r="I45" s="99">
        <v>307.95</v>
      </c>
      <c r="J45" s="177">
        <v>684.32649000000004</v>
      </c>
      <c r="K45" s="99">
        <f>I45*H45</f>
        <v>88284.474666666676</v>
      </c>
      <c r="L45" s="6"/>
      <c r="M45" s="27"/>
    </row>
    <row r="46" spans="1:13" ht="21" x14ac:dyDescent="0.2">
      <c r="A46" s="5"/>
      <c r="B46" s="3" t="str">
        <f>B66</f>
        <v xml:space="preserve">FOOTING </v>
      </c>
      <c r="C46" s="3"/>
      <c r="D46" s="99">
        <f>D66</f>
        <v>325.77777777777777</v>
      </c>
      <c r="E46" s="3">
        <f>E66+F66</f>
        <v>0.55000000000000004</v>
      </c>
      <c r="F46" s="3">
        <v>2</v>
      </c>
      <c r="G46" s="3">
        <f>G66</f>
        <v>0.8</v>
      </c>
      <c r="H46" s="14">
        <f>PRODUCT(D46:G46)</f>
        <v>286.68444444444447</v>
      </c>
      <c r="I46" s="99"/>
      <c r="J46" s="177"/>
      <c r="K46" s="99"/>
      <c r="L46" s="6"/>
      <c r="M46" s="27"/>
    </row>
    <row r="47" spans="1:13" ht="21" x14ac:dyDescent="0.2">
      <c r="A47" s="5"/>
      <c r="B47" s="3"/>
      <c r="C47" s="3"/>
      <c r="D47" s="3"/>
      <c r="E47" s="3"/>
      <c r="F47" s="3"/>
      <c r="G47" s="3"/>
      <c r="H47" s="14"/>
      <c r="I47" s="99"/>
      <c r="J47" s="177"/>
      <c r="K47" s="99"/>
      <c r="L47" s="6"/>
      <c r="M47" s="27"/>
    </row>
    <row r="48" spans="1:13" ht="21" x14ac:dyDescent="0.2">
      <c r="A48" s="5"/>
      <c r="B48" s="33"/>
      <c r="C48" s="3"/>
      <c r="D48" s="3"/>
      <c r="E48" s="3"/>
      <c r="F48" s="3"/>
      <c r="G48" s="3"/>
      <c r="H48" s="14"/>
      <c r="I48" s="99"/>
      <c r="J48" s="177"/>
      <c r="K48" s="99"/>
      <c r="L48" s="6"/>
      <c r="M48" s="27"/>
    </row>
    <row r="49" spans="1:13" ht="147" x14ac:dyDescent="0.2">
      <c r="A49" s="5" t="s">
        <v>83</v>
      </c>
      <c r="B49" s="33" t="s">
        <v>84</v>
      </c>
      <c r="C49" s="3" t="s">
        <v>73</v>
      </c>
      <c r="D49" s="3"/>
      <c r="E49" s="3"/>
      <c r="F49" s="3"/>
      <c r="G49" s="3" t="s">
        <v>309</v>
      </c>
      <c r="H49" s="14">
        <f>SUM(H50:H51)</f>
        <v>0</v>
      </c>
      <c r="I49" s="99">
        <v>669.55</v>
      </c>
      <c r="J49" s="177">
        <v>806.40602000000001</v>
      </c>
      <c r="K49" s="99">
        <f>I49*H49</f>
        <v>0</v>
      </c>
      <c r="L49" s="6"/>
      <c r="M49" s="27"/>
    </row>
    <row r="50" spans="1:13" ht="21" x14ac:dyDescent="0.2">
      <c r="A50" s="5"/>
      <c r="B50" s="3"/>
      <c r="C50" s="3"/>
      <c r="D50" s="3"/>
      <c r="E50" s="3"/>
      <c r="F50" s="3"/>
      <c r="G50" s="3"/>
      <c r="H50" s="14"/>
      <c r="I50" s="99"/>
      <c r="J50" s="177"/>
      <c r="K50" s="99"/>
      <c r="L50" s="6"/>
      <c r="M50" s="27"/>
    </row>
    <row r="51" spans="1:13" ht="21" x14ac:dyDescent="0.2">
      <c r="A51" s="5"/>
      <c r="B51" s="3"/>
      <c r="C51" s="3"/>
      <c r="D51" s="3"/>
      <c r="E51" s="3"/>
      <c r="F51" s="3"/>
      <c r="G51" s="3"/>
      <c r="H51" s="14"/>
      <c r="I51" s="99"/>
      <c r="J51" s="177"/>
      <c r="K51" s="99"/>
      <c r="L51" s="6"/>
      <c r="M51" s="27"/>
    </row>
    <row r="52" spans="1:13" ht="21" x14ac:dyDescent="0.2">
      <c r="A52" s="5"/>
      <c r="B52" s="33"/>
      <c r="C52" s="3"/>
      <c r="D52" s="3"/>
      <c r="E52" s="3"/>
      <c r="F52" s="3"/>
      <c r="G52" s="3"/>
      <c r="H52" s="14"/>
      <c r="I52" s="99"/>
      <c r="J52" s="177"/>
      <c r="K52" s="99"/>
      <c r="L52" s="6"/>
      <c r="M52" s="27"/>
    </row>
    <row r="53" spans="1:13" ht="168" x14ac:dyDescent="0.2">
      <c r="A53" s="5" t="s">
        <v>85</v>
      </c>
      <c r="B53" s="33" t="s">
        <v>340</v>
      </c>
      <c r="C53" s="3" t="s">
        <v>73</v>
      </c>
      <c r="D53" s="3"/>
      <c r="E53" s="3"/>
      <c r="F53" s="3"/>
      <c r="G53" s="3"/>
      <c r="H53" s="14"/>
      <c r="I53" s="99">
        <v>766.55</v>
      </c>
      <c r="J53" s="177">
        <v>806.41060000000004</v>
      </c>
      <c r="K53" s="99">
        <f>I53*H53</f>
        <v>0</v>
      </c>
      <c r="L53" s="6"/>
      <c r="M53" s="27"/>
    </row>
    <row r="54" spans="1:13" ht="21" x14ac:dyDescent="0.2">
      <c r="A54" s="5"/>
      <c r="B54" s="33"/>
      <c r="C54" s="3"/>
      <c r="D54" s="3"/>
      <c r="E54" s="3"/>
      <c r="F54" s="3"/>
      <c r="G54" s="3"/>
      <c r="H54" s="14"/>
      <c r="I54" s="99"/>
      <c r="J54" s="177"/>
      <c r="K54" s="99"/>
      <c r="L54" s="6"/>
      <c r="M54" s="27"/>
    </row>
    <row r="55" spans="1:13" ht="126" x14ac:dyDescent="0.2">
      <c r="A55" s="5" t="s">
        <v>87</v>
      </c>
      <c r="B55" s="33" t="s">
        <v>88</v>
      </c>
      <c r="C55" s="3" t="s">
        <v>73</v>
      </c>
      <c r="D55" s="3"/>
      <c r="E55" s="3"/>
      <c r="F55" s="3"/>
      <c r="G55" s="3" t="s">
        <v>309</v>
      </c>
      <c r="H55" s="14">
        <f>SUM(H56:H57)</f>
        <v>0</v>
      </c>
      <c r="I55" s="99">
        <v>608.35</v>
      </c>
      <c r="J55" s="177">
        <v>1007.975115</v>
      </c>
      <c r="K55" s="99">
        <f>I55*H55</f>
        <v>0</v>
      </c>
      <c r="L55" s="6"/>
      <c r="M55" s="27"/>
    </row>
    <row r="56" spans="1:13" ht="21" x14ac:dyDescent="0.2">
      <c r="A56" s="5"/>
      <c r="B56" s="3"/>
      <c r="C56" s="3"/>
      <c r="D56" s="3"/>
      <c r="E56" s="3"/>
      <c r="F56" s="3"/>
      <c r="G56" s="3"/>
      <c r="H56" s="14"/>
      <c r="I56" s="99"/>
      <c r="J56" s="177"/>
      <c r="K56" s="99"/>
      <c r="L56" s="6"/>
      <c r="M56" s="27"/>
    </row>
    <row r="57" spans="1:13" ht="21" x14ac:dyDescent="0.2">
      <c r="A57" s="5"/>
      <c r="B57" s="3"/>
      <c r="C57" s="3"/>
      <c r="D57" s="3"/>
      <c r="E57" s="3"/>
      <c r="F57" s="3"/>
      <c r="G57" s="3"/>
      <c r="H57" s="14"/>
      <c r="I57" s="99"/>
      <c r="J57" s="177"/>
      <c r="K57" s="99"/>
      <c r="L57" s="6"/>
      <c r="M57" s="27"/>
    </row>
    <row r="58" spans="1:13" ht="126" x14ac:dyDescent="0.2">
      <c r="A58" s="5" t="s">
        <v>89</v>
      </c>
      <c r="B58" s="33" t="s">
        <v>90</v>
      </c>
      <c r="C58" s="3" t="s">
        <v>73</v>
      </c>
      <c r="D58" s="3"/>
      <c r="E58" s="3"/>
      <c r="F58" s="3"/>
      <c r="G58" s="3" t="s">
        <v>309</v>
      </c>
      <c r="H58" s="14">
        <f>SUM(H59)</f>
        <v>0</v>
      </c>
      <c r="I58" s="99">
        <v>804.25</v>
      </c>
      <c r="J58" s="177">
        <v>907.19399999999996</v>
      </c>
      <c r="K58" s="99">
        <f>I58*H58</f>
        <v>0</v>
      </c>
      <c r="L58" s="6"/>
      <c r="M58" s="27"/>
    </row>
    <row r="59" spans="1:13" ht="21" x14ac:dyDescent="0.2">
      <c r="A59" s="5"/>
      <c r="B59" s="33"/>
      <c r="C59" s="3"/>
      <c r="D59" s="99"/>
      <c r="E59" s="3"/>
      <c r="F59" s="3"/>
      <c r="G59" s="3"/>
      <c r="H59" s="14">
        <f>PRODUCT(D59:G59)</f>
        <v>0</v>
      </c>
      <c r="I59" s="99"/>
      <c r="J59" s="177"/>
      <c r="K59" s="99"/>
      <c r="L59" s="6"/>
      <c r="M59" s="27"/>
    </row>
    <row r="60" spans="1:13" ht="21" x14ac:dyDescent="0.2">
      <c r="A60" s="5"/>
      <c r="B60" s="33"/>
      <c r="C60" s="3"/>
      <c r="D60" s="3"/>
      <c r="E60" s="3"/>
      <c r="F60" s="3"/>
      <c r="G60" s="3"/>
      <c r="H60" s="14"/>
      <c r="I60" s="99"/>
      <c r="J60" s="177"/>
      <c r="K60" s="99"/>
      <c r="L60" s="6"/>
      <c r="M60" s="27"/>
    </row>
    <row r="61" spans="1:13" ht="147" x14ac:dyDescent="0.2">
      <c r="A61" s="5" t="s">
        <v>91</v>
      </c>
      <c r="B61" s="33" t="s">
        <v>341</v>
      </c>
      <c r="C61" s="3" t="s">
        <v>73</v>
      </c>
      <c r="D61" s="3"/>
      <c r="E61" s="3"/>
      <c r="F61" s="3"/>
      <c r="G61" s="3"/>
      <c r="H61" s="14"/>
      <c r="I61" s="99">
        <v>657.75</v>
      </c>
      <c r="J61" s="177">
        <v>1008.001875</v>
      </c>
      <c r="K61" s="99">
        <f>I61*H61</f>
        <v>0</v>
      </c>
      <c r="L61" s="6"/>
      <c r="M61" s="27"/>
    </row>
    <row r="62" spans="1:13" ht="21" x14ac:dyDescent="0.2">
      <c r="A62" s="5"/>
      <c r="B62" s="33"/>
      <c r="C62" s="3"/>
      <c r="D62" s="3"/>
      <c r="E62" s="3"/>
      <c r="F62" s="3"/>
      <c r="G62" s="3"/>
      <c r="H62" s="14"/>
      <c r="I62" s="99"/>
      <c r="J62" s="177"/>
      <c r="K62" s="99">
        <f>I62*H62</f>
        <v>0</v>
      </c>
      <c r="L62" s="6"/>
      <c r="M62" s="27"/>
    </row>
    <row r="63" spans="1:13" ht="409.5" x14ac:dyDescent="0.2">
      <c r="A63" s="5">
        <v>5.33</v>
      </c>
      <c r="B63" s="33" t="s">
        <v>312</v>
      </c>
      <c r="C63" s="3"/>
      <c r="D63" s="3"/>
      <c r="E63" s="3"/>
      <c r="F63" s="3"/>
      <c r="G63" s="3"/>
      <c r="H63" s="14"/>
      <c r="I63" s="99"/>
      <c r="J63" s="177"/>
      <c r="K63" s="99">
        <f>I63*H63</f>
        <v>0</v>
      </c>
      <c r="L63" s="6"/>
      <c r="M63" s="27"/>
    </row>
    <row r="64" spans="1:13" ht="21" x14ac:dyDescent="0.2">
      <c r="A64" s="5" t="s">
        <v>100</v>
      </c>
      <c r="B64" s="33" t="s">
        <v>101</v>
      </c>
      <c r="C64" s="3"/>
      <c r="D64" s="3"/>
      <c r="E64" s="3"/>
      <c r="F64" s="3"/>
      <c r="G64" s="3"/>
      <c r="H64" s="14"/>
      <c r="I64" s="99"/>
      <c r="J64" s="177"/>
      <c r="K64" s="99">
        <f>I64*H64</f>
        <v>0</v>
      </c>
      <c r="L64" s="6"/>
      <c r="M64" s="27"/>
    </row>
    <row r="65" spans="1:13" ht="42" x14ac:dyDescent="0.2">
      <c r="A65" s="5" t="s">
        <v>102</v>
      </c>
      <c r="B65" s="33" t="s">
        <v>313</v>
      </c>
      <c r="C65" s="3" t="s">
        <v>43</v>
      </c>
      <c r="D65" s="3"/>
      <c r="E65" s="3"/>
      <c r="F65" s="3"/>
      <c r="G65" s="3" t="s">
        <v>309</v>
      </c>
      <c r="H65" s="14">
        <f>SUM(H66:H67)</f>
        <v>19.546666666666674</v>
      </c>
      <c r="I65" s="99">
        <v>7997.3</v>
      </c>
      <c r="J65" s="177">
        <v>6051.5569100000002</v>
      </c>
      <c r="K65" s="99">
        <f>I65*H65</f>
        <v>156320.55733333339</v>
      </c>
      <c r="L65" s="6"/>
      <c r="M65" s="27"/>
    </row>
    <row r="66" spans="1:13" ht="21" x14ac:dyDescent="0.2">
      <c r="A66" s="5"/>
      <c r="B66" s="33" t="s">
        <v>333</v>
      </c>
      <c r="C66" s="3"/>
      <c r="D66" s="99">
        <f>D38</f>
        <v>325.77777777777777</v>
      </c>
      <c r="E66" s="2">
        <f>E38-0.2</f>
        <v>0.3</v>
      </c>
      <c r="F66" s="2">
        <f>F38-0.2</f>
        <v>0.25000000000000006</v>
      </c>
      <c r="G66" s="3">
        <v>0.8</v>
      </c>
      <c r="H66" s="14">
        <f>PRODUCT(D66:G66)</f>
        <v>19.546666666666674</v>
      </c>
      <c r="I66" s="99"/>
      <c r="J66" s="177"/>
      <c r="K66" s="99"/>
      <c r="L66" s="6"/>
      <c r="M66" s="27"/>
    </row>
    <row r="67" spans="1:13" ht="21" customHeight="1" x14ac:dyDescent="0.2">
      <c r="A67" s="5"/>
      <c r="B67" s="33"/>
      <c r="C67" s="3"/>
      <c r="D67" s="14"/>
      <c r="E67" s="14"/>
      <c r="F67" s="2"/>
      <c r="G67" s="2"/>
      <c r="H67" s="14"/>
      <c r="I67" s="99"/>
      <c r="J67" s="177"/>
      <c r="K67" s="99"/>
      <c r="L67" s="6"/>
      <c r="M67" s="27"/>
    </row>
    <row r="68" spans="1:13" ht="21" x14ac:dyDescent="0.2">
      <c r="A68" s="5"/>
      <c r="B68" s="33"/>
      <c r="C68" s="3"/>
      <c r="D68" s="3"/>
      <c r="E68" s="3"/>
      <c r="F68" s="3"/>
      <c r="G68" s="3"/>
      <c r="H68" s="14"/>
      <c r="I68" s="99"/>
      <c r="J68" s="177"/>
      <c r="K68" s="99"/>
      <c r="L68" s="6"/>
      <c r="M68" s="27"/>
    </row>
    <row r="69" spans="1:13" ht="42" x14ac:dyDescent="0.2">
      <c r="A69" s="5" t="s">
        <v>104</v>
      </c>
      <c r="B69" s="33" t="s">
        <v>315</v>
      </c>
      <c r="C69" s="3" t="s">
        <v>43</v>
      </c>
      <c r="D69" s="3"/>
      <c r="E69" s="3"/>
      <c r="F69" s="3"/>
      <c r="G69" s="3"/>
      <c r="H69" s="14"/>
      <c r="I69" s="99">
        <v>8599.35</v>
      </c>
      <c r="J69" s="177">
        <v>6262.0466699999997</v>
      </c>
      <c r="K69" s="99">
        <f>I69*H69</f>
        <v>0</v>
      </c>
      <c r="L69" s="6"/>
      <c r="M69" s="27"/>
    </row>
    <row r="70" spans="1:13" ht="21" x14ac:dyDescent="0.2">
      <c r="A70" s="5" t="s">
        <v>106</v>
      </c>
      <c r="B70" s="33" t="s">
        <v>107</v>
      </c>
      <c r="C70" s="3"/>
      <c r="D70" s="3"/>
      <c r="E70" s="3"/>
      <c r="F70" s="3"/>
      <c r="G70" s="3"/>
      <c r="H70" s="14"/>
      <c r="I70" s="99"/>
      <c r="J70" s="177">
        <v>0</v>
      </c>
      <c r="K70" s="99">
        <f>I70*H70</f>
        <v>0</v>
      </c>
      <c r="L70" s="6"/>
      <c r="M70" s="27"/>
    </row>
    <row r="71" spans="1:13" ht="42" x14ac:dyDescent="0.2">
      <c r="A71" s="5" t="s">
        <v>108</v>
      </c>
      <c r="B71" s="33" t="s">
        <v>313</v>
      </c>
      <c r="C71" s="3" t="s">
        <v>43</v>
      </c>
      <c r="D71" s="3"/>
      <c r="E71" s="3"/>
      <c r="F71" s="3"/>
      <c r="G71" s="3" t="s">
        <v>309</v>
      </c>
      <c r="H71" s="14">
        <f>SUM(H72:H72)</f>
        <v>0</v>
      </c>
      <c r="I71" s="99">
        <v>10080.15</v>
      </c>
      <c r="J71" s="177">
        <v>6660.9631200000003</v>
      </c>
      <c r="K71" s="99">
        <f>I71*H71</f>
        <v>0</v>
      </c>
      <c r="L71" s="6"/>
      <c r="M71" s="27"/>
    </row>
    <row r="72" spans="1:13" ht="21" x14ac:dyDescent="0.2">
      <c r="A72" s="5"/>
      <c r="B72" s="33"/>
      <c r="C72" s="3"/>
      <c r="D72" s="3"/>
      <c r="E72" s="3"/>
      <c r="F72" s="3"/>
      <c r="G72" s="3"/>
      <c r="H72" s="14"/>
      <c r="I72" s="99"/>
      <c r="J72" s="177"/>
      <c r="K72" s="99"/>
      <c r="L72" s="6"/>
      <c r="M72" s="27"/>
    </row>
    <row r="73" spans="1:13" ht="42" x14ac:dyDescent="0.2">
      <c r="A73" s="5" t="s">
        <v>109</v>
      </c>
      <c r="B73" s="33" t="s">
        <v>315</v>
      </c>
      <c r="C73" s="3" t="s">
        <v>43</v>
      </c>
      <c r="D73" s="3"/>
      <c r="E73" s="3"/>
      <c r="F73" s="3"/>
      <c r="G73" s="3"/>
      <c r="H73" s="14"/>
      <c r="I73" s="99">
        <v>10221.700000000001</v>
      </c>
      <c r="J73" s="177">
        <v>6870.0045700000001</v>
      </c>
      <c r="K73" s="99">
        <f>I73*H73</f>
        <v>0</v>
      </c>
      <c r="L73" s="6"/>
      <c r="M73" s="27"/>
    </row>
    <row r="74" spans="1:13" ht="105" x14ac:dyDescent="0.2">
      <c r="A74" s="5">
        <v>5.22</v>
      </c>
      <c r="B74" s="33" t="s">
        <v>316</v>
      </c>
      <c r="C74" s="8"/>
      <c r="D74" s="8"/>
      <c r="E74" s="8"/>
      <c r="F74" s="8"/>
      <c r="G74" s="8"/>
      <c r="H74" s="14"/>
      <c r="I74" s="99"/>
      <c r="J74" s="177">
        <v>0</v>
      </c>
      <c r="K74" s="99">
        <f>I74*H74</f>
        <v>0</v>
      </c>
      <c r="L74" s="6"/>
      <c r="M74" s="27"/>
    </row>
    <row r="75" spans="1:13" ht="42" x14ac:dyDescent="0.2">
      <c r="A75" s="5" t="s">
        <v>110</v>
      </c>
      <c r="B75" s="33" t="s">
        <v>111</v>
      </c>
      <c r="C75" s="3" t="s">
        <v>112</v>
      </c>
      <c r="D75" s="3"/>
      <c r="E75" s="3"/>
      <c r="F75" s="3"/>
      <c r="G75" s="3" t="s">
        <v>309</v>
      </c>
      <c r="H75" s="35">
        <f>SUM(H76)</f>
        <v>1172.8000000000004</v>
      </c>
      <c r="I75" s="99">
        <v>89.65</v>
      </c>
      <c r="J75" s="177">
        <v>90.716835000000003</v>
      </c>
      <c r="K75" s="99">
        <f>I75*H75</f>
        <v>105141.52000000005</v>
      </c>
      <c r="L75" s="6"/>
      <c r="M75" s="27"/>
    </row>
    <row r="76" spans="1:13" ht="21" x14ac:dyDescent="0.2">
      <c r="A76" s="5"/>
      <c r="B76" s="33"/>
      <c r="C76" s="3"/>
      <c r="D76" s="3">
        <v>60</v>
      </c>
      <c r="E76" s="3"/>
      <c r="F76" s="6"/>
      <c r="G76" s="14">
        <f>H71+H65</f>
        <v>19.546666666666674</v>
      </c>
      <c r="H76" s="14">
        <f>PRODUCT(D76:G76)</f>
        <v>1172.8000000000004</v>
      </c>
      <c r="I76" s="99"/>
      <c r="J76" s="177"/>
      <c r="K76" s="99"/>
      <c r="L76" s="6"/>
      <c r="M76" s="27"/>
    </row>
    <row r="77" spans="1:13" ht="21" x14ac:dyDescent="0.2">
      <c r="A77" s="5"/>
      <c r="B77" s="33"/>
      <c r="C77" s="3"/>
      <c r="D77" s="3"/>
      <c r="E77" s="3"/>
      <c r="F77" s="6"/>
      <c r="G77" s="14"/>
      <c r="H77" s="14"/>
      <c r="I77" s="99"/>
      <c r="J77" s="177"/>
      <c r="K77" s="99"/>
      <c r="L77" s="6"/>
      <c r="M77" s="27"/>
    </row>
    <row r="78" spans="1:13" ht="21" x14ac:dyDescent="0.2">
      <c r="A78" s="5"/>
      <c r="B78" s="33"/>
      <c r="C78" s="3"/>
      <c r="D78" s="3"/>
      <c r="E78" s="3"/>
      <c r="F78" s="6"/>
      <c r="G78" s="14"/>
      <c r="H78" s="14"/>
      <c r="I78" s="99"/>
      <c r="J78" s="177"/>
      <c r="K78" s="99"/>
      <c r="L78" s="6"/>
      <c r="M78" s="27"/>
    </row>
    <row r="79" spans="1:13" ht="21" x14ac:dyDescent="0.2">
      <c r="A79" s="5"/>
      <c r="B79" s="33"/>
      <c r="C79" s="3"/>
      <c r="D79" s="3"/>
      <c r="E79" s="3"/>
      <c r="F79" s="6"/>
      <c r="G79" s="14"/>
      <c r="H79" s="14"/>
      <c r="I79" s="99"/>
      <c r="J79" s="177"/>
      <c r="K79" s="99"/>
      <c r="L79" s="6"/>
      <c r="M79" s="27"/>
    </row>
    <row r="80" spans="1:13" ht="20.25" x14ac:dyDescent="0.3">
      <c r="A80" s="557"/>
      <c r="B80" s="557"/>
      <c r="C80" s="557"/>
      <c r="D80" s="557"/>
      <c r="E80" s="557"/>
      <c r="F80" s="557"/>
      <c r="G80" s="557"/>
      <c r="H80" s="557"/>
      <c r="I80" s="557"/>
      <c r="J80" s="180"/>
      <c r="K80" s="99">
        <f>SUM(K5:K77)</f>
        <v>475332.46820000012</v>
      </c>
      <c r="L80" s="48"/>
      <c r="M80" s="27"/>
    </row>
    <row r="81" spans="1:13" ht="20.25" x14ac:dyDescent="0.2">
      <c r="A81" s="50"/>
      <c r="B81" s="51"/>
      <c r="C81" s="50"/>
      <c r="D81" s="50"/>
      <c r="E81" s="50"/>
      <c r="F81" s="50"/>
      <c r="G81" s="50"/>
      <c r="H81" s="52"/>
      <c r="I81" s="171"/>
      <c r="J81" s="181"/>
      <c r="K81" s="165"/>
      <c r="L81" s="6"/>
      <c r="M81" s="53"/>
    </row>
    <row r="82" spans="1:13" x14ac:dyDescent="0.2">
      <c r="M82" s="57"/>
    </row>
    <row r="83" spans="1:13" x14ac:dyDescent="0.2">
      <c r="M83" s="57"/>
    </row>
    <row r="84" spans="1:13" x14ac:dyDescent="0.2">
      <c r="M84" s="57"/>
    </row>
    <row r="85" spans="1:13" x14ac:dyDescent="0.2">
      <c r="M85" s="57"/>
    </row>
    <row r="86" spans="1:13" x14ac:dyDescent="0.2">
      <c r="M86" s="57"/>
    </row>
    <row r="87" spans="1:13" x14ac:dyDescent="0.2">
      <c r="M87" s="57"/>
    </row>
    <row r="88" spans="1:13" x14ac:dyDescent="0.2">
      <c r="M88" s="57"/>
    </row>
    <row r="89" spans="1:13" x14ac:dyDescent="0.2">
      <c r="M89" s="57"/>
    </row>
    <row r="90" spans="1:13" x14ac:dyDescent="0.2">
      <c r="M90" s="57"/>
    </row>
    <row r="91" spans="1:13" x14ac:dyDescent="0.2">
      <c r="A91" s="59"/>
      <c r="B91" s="60"/>
      <c r="C91" s="59"/>
      <c r="D91" s="59"/>
      <c r="E91" s="59"/>
      <c r="F91" s="59"/>
      <c r="G91" s="59"/>
      <c r="H91" s="61"/>
      <c r="I91" s="167"/>
      <c r="J91" s="183"/>
      <c r="K91" s="167"/>
      <c r="L91" s="59"/>
      <c r="M91" s="62"/>
    </row>
  </sheetData>
  <protectedRanges>
    <protectedRange sqref="M2" name="Range1"/>
  </protectedRanges>
  <mergeCells count="5">
    <mergeCell ref="A1:M1"/>
    <mergeCell ref="B2:K2"/>
    <mergeCell ref="L2:M2"/>
    <mergeCell ref="B31:B32"/>
    <mergeCell ref="A80:I80"/>
  </mergeCells>
  <phoneticPr fontId="1" type="noConversion"/>
  <conditionalFormatting sqref="B25">
    <cfRule type="cellIs" dxfId="37" priority="1" stopIfTrue="1" operator="equal">
      <formula>#REF!</formula>
    </cfRule>
  </conditionalFormatting>
  <pageMargins left="0.7" right="0.7" top="0.75" bottom="0.75" header="0.3" footer="0.3"/>
  <pageSetup scale="2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J70"/>
  <sheetViews>
    <sheetView view="pageBreakPreview" topLeftCell="A55" zoomScale="55" zoomScaleNormal="55" workbookViewId="0">
      <selection activeCell="I8" sqref="I8"/>
    </sheetView>
  </sheetViews>
  <sheetFormatPr defaultColWidth="9.140625" defaultRowHeight="15" x14ac:dyDescent="0.25"/>
  <cols>
    <col min="1" max="1" width="13.85546875" style="109" customWidth="1"/>
    <col min="2" max="2" width="76.28515625" style="126" customWidth="1"/>
    <col min="3" max="3" width="14.42578125" style="133" customWidth="1"/>
    <col min="4" max="4" width="21.7109375" style="127" customWidth="1"/>
    <col min="5" max="5" width="26.42578125" style="127" customWidth="1"/>
    <col min="6" max="6" width="23.5703125" style="134" customWidth="1"/>
    <col min="7" max="7" width="50.140625" style="133" customWidth="1"/>
    <col min="8" max="8" width="25.85546875" style="133" customWidth="1"/>
    <col min="9" max="9" width="21.7109375" style="198" customWidth="1"/>
    <col min="10" max="10" width="26.42578125" style="198" customWidth="1"/>
    <col min="11" max="11" width="9.140625" style="109" customWidth="1"/>
    <col min="12" max="16384" width="9.140625" style="109"/>
  </cols>
  <sheetData>
    <row r="1" spans="1:10" ht="140.25" customHeight="1" x14ac:dyDescent="0.25">
      <c r="A1" s="608"/>
      <c r="B1" s="608"/>
      <c r="C1" s="608"/>
      <c r="D1" s="608"/>
      <c r="E1" s="608"/>
      <c r="F1" s="608"/>
      <c r="G1" s="608"/>
      <c r="H1" s="608"/>
      <c r="I1" s="608"/>
      <c r="J1" s="609"/>
    </row>
    <row r="2" spans="1:10" ht="89.25" customHeight="1" x14ac:dyDescent="0.25">
      <c r="A2" s="210"/>
      <c r="B2" s="610" t="s">
        <v>353</v>
      </c>
      <c r="C2" s="611"/>
      <c r="D2" s="611"/>
      <c r="E2" s="611"/>
      <c r="F2" s="611"/>
      <c r="G2" s="611"/>
      <c r="H2" s="128"/>
      <c r="I2" s="566" t="s">
        <v>14</v>
      </c>
      <c r="J2" s="567"/>
    </row>
    <row r="3" spans="1:10" ht="20.25" x14ac:dyDescent="0.25">
      <c r="A3" s="612"/>
      <c r="B3" s="612"/>
      <c r="C3" s="612"/>
      <c r="D3" s="612"/>
      <c r="E3" s="612"/>
      <c r="F3" s="612"/>
      <c r="G3" s="612"/>
      <c r="H3" s="612"/>
      <c r="I3" s="612"/>
      <c r="J3" s="613"/>
    </row>
    <row r="4" spans="1:10" ht="20.25" x14ac:dyDescent="0.25">
      <c r="A4" s="612"/>
      <c r="B4" s="612"/>
      <c r="C4" s="612"/>
      <c r="D4" s="612"/>
      <c r="E4" s="612"/>
      <c r="F4" s="612"/>
      <c r="G4" s="612"/>
      <c r="H4" s="612"/>
      <c r="I4" s="612"/>
      <c r="J4" s="613"/>
    </row>
    <row r="5" spans="1:10" ht="60.75" x14ac:dyDescent="0.25">
      <c r="A5" s="110" t="s">
        <v>17</v>
      </c>
      <c r="B5" s="111" t="s">
        <v>18</v>
      </c>
      <c r="C5" s="112" t="s">
        <v>19</v>
      </c>
      <c r="D5" s="110" t="s">
        <v>354</v>
      </c>
      <c r="E5" s="114" t="s">
        <v>355</v>
      </c>
      <c r="F5" s="115" t="s">
        <v>356</v>
      </c>
      <c r="G5" s="113" t="s">
        <v>357</v>
      </c>
      <c r="H5" s="113" t="s">
        <v>305</v>
      </c>
      <c r="I5" s="192" t="s">
        <v>37</v>
      </c>
      <c r="J5" s="193" t="s">
        <v>38</v>
      </c>
    </row>
    <row r="6" spans="1:10" ht="20.25" x14ac:dyDescent="0.25">
      <c r="A6" s="110"/>
      <c r="B6" s="116"/>
      <c r="C6" s="112"/>
      <c r="D6" s="110"/>
      <c r="E6" s="125"/>
      <c r="F6" s="131"/>
      <c r="G6" s="132"/>
      <c r="H6" s="132"/>
      <c r="I6" s="192"/>
      <c r="J6" s="194"/>
    </row>
    <row r="7" spans="1:10" ht="182.25" x14ac:dyDescent="0.25">
      <c r="A7" s="75">
        <v>2.6</v>
      </c>
      <c r="B7" s="74" t="s">
        <v>41</v>
      </c>
      <c r="C7" s="75"/>
      <c r="D7" s="118"/>
      <c r="E7" s="118"/>
      <c r="F7" s="131"/>
      <c r="G7" s="132"/>
      <c r="H7" s="132"/>
      <c r="I7" s="195"/>
      <c r="J7" s="195"/>
    </row>
    <row r="8" spans="1:10" ht="20.25" x14ac:dyDescent="0.25">
      <c r="A8" s="75"/>
      <c r="B8" s="74" t="s">
        <v>42</v>
      </c>
      <c r="C8" s="75" t="s">
        <v>43</v>
      </c>
      <c r="D8" s="118"/>
      <c r="E8" s="118"/>
      <c r="F8" s="119"/>
      <c r="G8" s="120"/>
      <c r="H8" s="129">
        <f>SUM(H9:H14)</f>
        <v>576.3119999999999</v>
      </c>
      <c r="I8" s="195">
        <v>205.45</v>
      </c>
      <c r="J8" s="195">
        <f>+ROUNDUP((H8*I8),0)</f>
        <v>118404</v>
      </c>
    </row>
    <row r="9" spans="1:10" ht="20.25" x14ac:dyDescent="0.25">
      <c r="A9" s="75"/>
      <c r="B9" s="74"/>
      <c r="C9" s="75"/>
      <c r="D9" s="118"/>
      <c r="E9" s="118"/>
      <c r="F9" s="118"/>
      <c r="G9" s="120"/>
      <c r="H9" s="129"/>
      <c r="I9" s="195"/>
      <c r="J9" s="195"/>
    </row>
    <row r="10" spans="1:10" ht="20.25" x14ac:dyDescent="0.25">
      <c r="A10" s="75"/>
      <c r="B10" s="74" t="s">
        <v>358</v>
      </c>
      <c r="C10" s="75"/>
      <c r="D10" s="118">
        <v>1</v>
      </c>
      <c r="E10" s="118">
        <v>277</v>
      </c>
      <c r="F10" s="118">
        <v>0.6</v>
      </c>
      <c r="G10" s="120">
        <v>0.9</v>
      </c>
      <c r="H10" s="129">
        <f>PRODUCT(D10:G10)</f>
        <v>149.57999999999998</v>
      </c>
      <c r="I10" s="195"/>
      <c r="J10" s="195"/>
    </row>
    <row r="11" spans="1:10" ht="20.25" x14ac:dyDescent="0.25">
      <c r="A11" s="75"/>
      <c r="B11" s="74" t="s">
        <v>359</v>
      </c>
      <c r="C11" s="75"/>
      <c r="D11" s="118">
        <v>4</v>
      </c>
      <c r="E11" s="118">
        <f>1+0.6</f>
        <v>1.6</v>
      </c>
      <c r="F11" s="118">
        <f>1+0.6</f>
        <v>1.6</v>
      </c>
      <c r="G11" s="120">
        <v>3</v>
      </c>
      <c r="H11" s="129">
        <f>PRODUCT(D11:G11)</f>
        <v>30.720000000000006</v>
      </c>
      <c r="I11" s="195"/>
      <c r="J11" s="195"/>
    </row>
    <row r="12" spans="1:10" ht="20.25" x14ac:dyDescent="0.25">
      <c r="A12" s="75"/>
      <c r="B12" s="74" t="s">
        <v>360</v>
      </c>
      <c r="C12" s="75"/>
      <c r="D12" s="118">
        <v>2</v>
      </c>
      <c r="E12" s="118">
        <f>3.5+0.6</f>
        <v>4.0999999999999996</v>
      </c>
      <c r="F12" s="118">
        <f>3.5+0.6</f>
        <v>4.0999999999999996</v>
      </c>
      <c r="G12" s="120">
        <v>0.6</v>
      </c>
      <c r="H12" s="129">
        <f>PRODUCT(D12:G12)</f>
        <v>20.171999999999997</v>
      </c>
      <c r="I12" s="195"/>
      <c r="J12" s="195"/>
    </row>
    <row r="13" spans="1:10" ht="20.25" x14ac:dyDescent="0.25">
      <c r="A13" s="75"/>
      <c r="B13" s="74" t="s">
        <v>361</v>
      </c>
      <c r="C13" s="75"/>
      <c r="D13" s="118">
        <v>1</v>
      </c>
      <c r="E13" s="118">
        <f>38+42+11+25</f>
        <v>116</v>
      </c>
      <c r="F13" s="118">
        <f>1.2+0.6</f>
        <v>1.7999999999999998</v>
      </c>
      <c r="G13" s="120">
        <f>1.8</f>
        <v>1.8</v>
      </c>
      <c r="H13" s="129">
        <f>PRODUCT(D13:G13)</f>
        <v>375.84</v>
      </c>
      <c r="I13" s="195"/>
      <c r="J13" s="195"/>
    </row>
    <row r="14" spans="1:10" ht="20.25" x14ac:dyDescent="0.25">
      <c r="A14" s="75"/>
      <c r="B14" s="74"/>
      <c r="C14" s="75"/>
      <c r="D14" s="118"/>
      <c r="E14" s="118"/>
      <c r="F14" s="118"/>
      <c r="G14" s="120"/>
      <c r="H14" s="129"/>
      <c r="I14" s="195"/>
      <c r="J14" s="195"/>
    </row>
    <row r="15" spans="1:10" ht="20.25" x14ac:dyDescent="0.25">
      <c r="A15" s="75"/>
      <c r="B15" s="74"/>
      <c r="C15" s="75"/>
      <c r="D15" s="118"/>
      <c r="E15" s="118"/>
      <c r="F15" s="118"/>
      <c r="G15" s="120"/>
      <c r="H15" s="129"/>
      <c r="I15" s="195"/>
      <c r="J15" s="195"/>
    </row>
    <row r="16" spans="1:10" ht="126" x14ac:dyDescent="0.25">
      <c r="A16" s="5">
        <v>2.7</v>
      </c>
      <c r="B16" s="33" t="s">
        <v>44</v>
      </c>
      <c r="C16" s="3"/>
      <c r="D16" s="118"/>
      <c r="E16" s="118"/>
      <c r="F16" s="118"/>
      <c r="G16" s="120"/>
      <c r="H16" s="129"/>
      <c r="I16" s="195"/>
      <c r="J16" s="195"/>
    </row>
    <row r="17" spans="1:10" ht="21" x14ac:dyDescent="0.25">
      <c r="A17" s="5" t="s">
        <v>45</v>
      </c>
      <c r="B17" s="33" t="s">
        <v>46</v>
      </c>
      <c r="C17" s="3" t="s">
        <v>43</v>
      </c>
      <c r="D17" s="118"/>
      <c r="E17" s="118"/>
      <c r="F17" s="118"/>
      <c r="G17" s="120"/>
      <c r="H17" s="129">
        <v>500</v>
      </c>
      <c r="I17" s="195">
        <v>412.95</v>
      </c>
      <c r="J17" s="195">
        <f>+ROUNDUP((H17*I17),0)</f>
        <v>206475</v>
      </c>
    </row>
    <row r="18" spans="1:10" ht="20.25" x14ac:dyDescent="0.25">
      <c r="A18" s="75"/>
      <c r="B18" s="74"/>
      <c r="C18" s="75"/>
      <c r="D18" s="118"/>
      <c r="E18" s="118"/>
      <c r="F18" s="118"/>
      <c r="G18" s="120"/>
      <c r="H18" s="129"/>
      <c r="I18" s="195"/>
      <c r="J18" s="195"/>
    </row>
    <row r="19" spans="1:10" ht="20.25" x14ac:dyDescent="0.25">
      <c r="A19" s="75"/>
      <c r="B19" s="74"/>
      <c r="C19" s="75"/>
      <c r="D19" s="118"/>
      <c r="E19" s="118"/>
      <c r="F19" s="118"/>
      <c r="G19" s="120"/>
      <c r="H19" s="129"/>
      <c r="I19" s="195"/>
      <c r="J19" s="195"/>
    </row>
    <row r="20" spans="1:10" ht="121.5" x14ac:dyDescent="0.25">
      <c r="A20" s="75">
        <v>2.25</v>
      </c>
      <c r="B20" s="74" t="s">
        <v>59</v>
      </c>
      <c r="C20" s="75" t="s">
        <v>60</v>
      </c>
      <c r="D20" s="118"/>
      <c r="E20" s="118"/>
      <c r="F20" s="119"/>
      <c r="G20" s="120"/>
      <c r="H20" s="129">
        <f>SUM(H21:H23)</f>
        <v>455.00599999999997</v>
      </c>
      <c r="I20" s="195">
        <v>253.95</v>
      </c>
      <c r="J20" s="195">
        <f>+ROUNDUP((H20*I20),0)</f>
        <v>115549</v>
      </c>
    </row>
    <row r="21" spans="1:10" ht="20.25" x14ac:dyDescent="0.25">
      <c r="A21" s="75"/>
      <c r="B21" s="74"/>
      <c r="C21" s="75"/>
      <c r="D21" s="118"/>
      <c r="E21" s="118"/>
      <c r="F21" s="119"/>
      <c r="G21" s="120"/>
      <c r="H21" s="129">
        <f>H8</f>
        <v>576.3119999999999</v>
      </c>
      <c r="I21" s="195"/>
      <c r="J21" s="195"/>
    </row>
    <row r="22" spans="1:10" ht="20.25" x14ac:dyDescent="0.25">
      <c r="A22" s="75"/>
      <c r="B22" s="74"/>
      <c r="C22" s="145"/>
      <c r="D22" s="118"/>
      <c r="E22" s="118"/>
      <c r="F22" s="119"/>
      <c r="G22" s="120"/>
      <c r="H22" s="130">
        <f>-H31</f>
        <v>-20.625999999999998</v>
      </c>
      <c r="I22" s="195"/>
      <c r="J22" s="195"/>
    </row>
    <row r="23" spans="1:10" ht="20.25" x14ac:dyDescent="0.25">
      <c r="A23" s="146"/>
      <c r="B23" s="146"/>
      <c r="C23" s="109"/>
      <c r="D23" s="118"/>
      <c r="E23" s="118"/>
      <c r="F23" s="119"/>
      <c r="G23" s="120"/>
      <c r="H23" s="129">
        <f>-H44</f>
        <v>-100.67999999999998</v>
      </c>
      <c r="I23" s="195"/>
      <c r="J23" s="195"/>
    </row>
    <row r="24" spans="1:10" ht="20.25" x14ac:dyDescent="0.25">
      <c r="A24" s="9"/>
      <c r="B24" s="74"/>
      <c r="C24" s="145"/>
      <c r="D24" s="118"/>
      <c r="E24" s="118"/>
      <c r="F24" s="119"/>
      <c r="G24" s="120"/>
      <c r="H24" s="129"/>
      <c r="I24" s="195"/>
      <c r="J24" s="195"/>
    </row>
    <row r="25" spans="1:10" ht="20.25" x14ac:dyDescent="0.25">
      <c r="A25" s="74">
        <v>983</v>
      </c>
      <c r="B25" s="74" t="s">
        <v>362</v>
      </c>
      <c r="C25" s="145" t="s">
        <v>257</v>
      </c>
      <c r="D25" s="118"/>
      <c r="E25" s="118"/>
      <c r="F25" s="119"/>
      <c r="G25" s="120"/>
      <c r="H25" s="129">
        <v>149</v>
      </c>
      <c r="I25" s="195">
        <v>900</v>
      </c>
      <c r="J25" s="195">
        <f t="shared" ref="J25:J31" si="0">+ROUNDUP((H25*I25),0)</f>
        <v>134100</v>
      </c>
    </row>
    <row r="26" spans="1:10" ht="20.25" x14ac:dyDescent="0.25">
      <c r="A26" s="121">
        <v>982</v>
      </c>
      <c r="B26" s="74" t="s">
        <v>68</v>
      </c>
      <c r="C26" s="75" t="s">
        <v>60</v>
      </c>
      <c r="D26" s="118"/>
      <c r="E26" s="118"/>
      <c r="F26" s="119"/>
      <c r="G26" s="119"/>
      <c r="H26" s="129"/>
      <c r="I26" s="195">
        <v>1500</v>
      </c>
      <c r="J26" s="195">
        <f t="shared" si="0"/>
        <v>0</v>
      </c>
    </row>
    <row r="27" spans="1:10" ht="20.25" x14ac:dyDescent="0.25">
      <c r="A27" s="75"/>
      <c r="B27" s="74" t="s">
        <v>69</v>
      </c>
      <c r="C27" s="75"/>
      <c r="D27" s="118"/>
      <c r="E27" s="118"/>
      <c r="F27" s="119"/>
      <c r="G27" s="120"/>
      <c r="H27" s="129"/>
      <c r="I27" s="195"/>
      <c r="J27" s="195">
        <f t="shared" si="0"/>
        <v>0</v>
      </c>
    </row>
    <row r="28" spans="1:10" ht="40.5" x14ac:dyDescent="0.25">
      <c r="A28" s="75" t="s">
        <v>70</v>
      </c>
      <c r="B28" s="606" t="s">
        <v>71</v>
      </c>
      <c r="C28" s="117"/>
      <c r="D28" s="118"/>
      <c r="E28" s="118"/>
      <c r="F28" s="119"/>
      <c r="G28" s="120"/>
      <c r="H28" s="129"/>
      <c r="I28" s="195"/>
      <c r="J28" s="195">
        <f t="shared" si="0"/>
        <v>0</v>
      </c>
    </row>
    <row r="29" spans="1:10" ht="20.25" x14ac:dyDescent="0.25">
      <c r="A29" s="75"/>
      <c r="B29" s="606"/>
      <c r="C29" s="117"/>
      <c r="D29" s="118"/>
      <c r="E29" s="118"/>
      <c r="F29" s="119"/>
      <c r="G29" s="120"/>
      <c r="H29" s="129"/>
      <c r="I29" s="195"/>
      <c r="J29" s="195">
        <f t="shared" si="0"/>
        <v>0</v>
      </c>
    </row>
    <row r="30" spans="1:10" ht="30" customHeight="1" x14ac:dyDescent="0.25">
      <c r="A30" s="75"/>
      <c r="B30" s="74" t="s">
        <v>72</v>
      </c>
      <c r="C30" s="75" t="s">
        <v>73</v>
      </c>
      <c r="D30" s="118"/>
      <c r="E30" s="118">
        <f>20+1</f>
        <v>21</v>
      </c>
      <c r="F30" s="119"/>
      <c r="G30" s="120">
        <f>23+1</f>
        <v>24</v>
      </c>
      <c r="H30" s="129">
        <f>PRODUCT(D30:G30)</f>
        <v>504</v>
      </c>
      <c r="I30" s="195">
        <v>53</v>
      </c>
      <c r="J30" s="195">
        <f t="shared" si="0"/>
        <v>26712</v>
      </c>
    </row>
    <row r="31" spans="1:10" ht="81" x14ac:dyDescent="0.25">
      <c r="A31" s="75" t="s">
        <v>75</v>
      </c>
      <c r="B31" s="74" t="s">
        <v>76</v>
      </c>
      <c r="C31" s="75" t="s">
        <v>43</v>
      </c>
      <c r="D31" s="118"/>
      <c r="E31" s="118"/>
      <c r="F31" s="119"/>
      <c r="G31" s="120"/>
      <c r="H31" s="130">
        <f>SUM(H32:H34)</f>
        <v>20.625999999999998</v>
      </c>
      <c r="I31" s="195">
        <v>6833.4</v>
      </c>
      <c r="J31" s="195">
        <f t="shared" si="0"/>
        <v>140946</v>
      </c>
    </row>
    <row r="32" spans="1:10" ht="20.25" x14ac:dyDescent="0.25">
      <c r="A32" s="75"/>
      <c r="B32" s="74" t="str">
        <f>B11</f>
        <v xml:space="preserve">4 POLE FOUNDATION </v>
      </c>
      <c r="C32" s="75"/>
      <c r="D32" s="75">
        <f t="shared" ref="D32:F33" si="1">D11</f>
        <v>4</v>
      </c>
      <c r="E32" s="75">
        <f t="shared" si="1"/>
        <v>1.6</v>
      </c>
      <c r="F32" s="75">
        <f t="shared" si="1"/>
        <v>1.6</v>
      </c>
      <c r="G32" s="120">
        <v>0.1</v>
      </c>
      <c r="H32" s="129">
        <f>PRODUCT(D32:G32)</f>
        <v>1.0240000000000002</v>
      </c>
      <c r="I32" s="195"/>
      <c r="J32" s="195"/>
    </row>
    <row r="33" spans="1:10" ht="20.25" x14ac:dyDescent="0.25">
      <c r="A33" s="75"/>
      <c r="B33" s="74" t="str">
        <f>B12</f>
        <v xml:space="preserve">TRANS FORMER </v>
      </c>
      <c r="C33" s="75"/>
      <c r="D33" s="75">
        <f t="shared" si="1"/>
        <v>2</v>
      </c>
      <c r="E33" s="75">
        <f t="shared" si="1"/>
        <v>4.0999999999999996</v>
      </c>
      <c r="F33" s="75">
        <f t="shared" si="1"/>
        <v>4.0999999999999996</v>
      </c>
      <c r="G33" s="120">
        <v>0.1</v>
      </c>
      <c r="H33" s="129">
        <f>PRODUCT(D33:G33)</f>
        <v>3.3620000000000001</v>
      </c>
      <c r="I33" s="195"/>
      <c r="J33" s="195"/>
    </row>
    <row r="34" spans="1:10" ht="32.25" customHeight="1" x14ac:dyDescent="0.25">
      <c r="A34" s="75"/>
      <c r="B34" s="74" t="str">
        <f>B13</f>
        <v xml:space="preserve">RCC CABLE TRENCH </v>
      </c>
      <c r="C34" s="75"/>
      <c r="D34" s="75">
        <f>D13</f>
        <v>1</v>
      </c>
      <c r="E34" s="75">
        <f>E13</f>
        <v>116</v>
      </c>
      <c r="F34" s="75">
        <f>F13-0.6+0.2</f>
        <v>1.3999999999999997</v>
      </c>
      <c r="G34" s="120">
        <v>0.1</v>
      </c>
      <c r="H34" s="129">
        <f>PRODUCT(D34:G34)</f>
        <v>16.239999999999998</v>
      </c>
      <c r="I34" s="195"/>
      <c r="J34" s="195"/>
    </row>
    <row r="35" spans="1:10" ht="40.5" x14ac:dyDescent="0.25">
      <c r="A35" s="75" t="s">
        <v>78</v>
      </c>
      <c r="B35" s="74" t="s">
        <v>79</v>
      </c>
      <c r="C35" s="75" t="s">
        <v>73</v>
      </c>
      <c r="D35" s="75"/>
      <c r="E35" s="75"/>
      <c r="F35" s="75"/>
      <c r="G35" s="120"/>
      <c r="H35" s="130">
        <f>SUM(H36)</f>
        <v>723</v>
      </c>
      <c r="I35" s="195">
        <v>120</v>
      </c>
      <c r="J35" s="195">
        <f>+ROUNDUP((H35*I35),0)</f>
        <v>86760</v>
      </c>
    </row>
    <row r="36" spans="1:10" ht="20.25" x14ac:dyDescent="0.25">
      <c r="A36" s="75"/>
      <c r="B36" s="74"/>
      <c r="C36" s="75"/>
      <c r="D36" s="118"/>
      <c r="E36" s="118">
        <v>723</v>
      </c>
      <c r="F36" s="119"/>
      <c r="G36" s="120"/>
      <c r="H36" s="129">
        <f>PRODUCT(D36:G36)</f>
        <v>723</v>
      </c>
      <c r="I36" s="195"/>
      <c r="J36" s="195">
        <f>+ROUNDUP((H36*I36),0)</f>
        <v>0</v>
      </c>
    </row>
    <row r="37" spans="1:10" ht="20.25" x14ac:dyDescent="0.25">
      <c r="A37" s="75"/>
      <c r="B37" s="74"/>
      <c r="C37" s="75"/>
      <c r="D37" s="118"/>
      <c r="E37" s="118"/>
      <c r="F37" s="119"/>
      <c r="G37" s="120"/>
      <c r="H37" s="129"/>
      <c r="I37" s="195"/>
      <c r="J37" s="195">
        <f>+ROUNDUP((H37*I37),0)</f>
        <v>0</v>
      </c>
    </row>
    <row r="38" spans="1:10" ht="40.5" x14ac:dyDescent="0.25">
      <c r="A38" s="75">
        <v>5.9</v>
      </c>
      <c r="B38" s="74" t="s">
        <v>80</v>
      </c>
      <c r="C38" s="75"/>
      <c r="D38" s="118"/>
      <c r="E38" s="118"/>
      <c r="F38" s="119"/>
      <c r="G38" s="120"/>
      <c r="H38" s="129"/>
      <c r="I38" s="195"/>
      <c r="J38" s="195">
        <f>+ROUNDUP((H38*I38),0)</f>
        <v>0</v>
      </c>
    </row>
    <row r="39" spans="1:10" ht="101.25" x14ac:dyDescent="0.25">
      <c r="A39" s="75" t="s">
        <v>81</v>
      </c>
      <c r="B39" s="74" t="s">
        <v>310</v>
      </c>
      <c r="C39" s="75" t="s">
        <v>73</v>
      </c>
      <c r="D39" s="118"/>
      <c r="E39" s="118"/>
      <c r="F39" s="119"/>
      <c r="G39" s="120" t="s">
        <v>309</v>
      </c>
      <c r="H39" s="130">
        <f>SUM(H40:H41)</f>
        <v>54.400000000000006</v>
      </c>
      <c r="I39" s="195">
        <v>307.95</v>
      </c>
      <c r="J39" s="195">
        <f>+ROUNDUP((H39*I39),0)</f>
        <v>16753</v>
      </c>
    </row>
    <row r="40" spans="1:10" ht="20.25" x14ac:dyDescent="0.25">
      <c r="A40" s="75"/>
      <c r="B40" s="74" t="str">
        <f>B45</f>
        <v xml:space="preserve">4 POLE FOUNDATION </v>
      </c>
      <c r="C40" s="132"/>
      <c r="D40" s="136">
        <f>D45</f>
        <v>4</v>
      </c>
      <c r="E40" s="135">
        <f>E45+F45</f>
        <v>2</v>
      </c>
      <c r="F40" s="118">
        <v>2</v>
      </c>
      <c r="G40" s="136">
        <f>G45</f>
        <v>2</v>
      </c>
      <c r="H40" s="129">
        <f>PRODUCT(D40:G40)</f>
        <v>32</v>
      </c>
      <c r="I40" s="195"/>
      <c r="J40" s="195"/>
    </row>
    <row r="41" spans="1:10" ht="20.25" x14ac:dyDescent="0.25">
      <c r="A41" s="75"/>
      <c r="B41" s="74" t="str">
        <f>B46</f>
        <v xml:space="preserve">TRANS FORMER </v>
      </c>
      <c r="C41" s="132"/>
      <c r="D41" s="136">
        <f>D46</f>
        <v>2</v>
      </c>
      <c r="E41" s="135">
        <f>E46+F46</f>
        <v>7</v>
      </c>
      <c r="F41" s="118">
        <v>2</v>
      </c>
      <c r="G41" s="136">
        <f>G46</f>
        <v>0.8</v>
      </c>
      <c r="H41" s="129">
        <f>PRODUCT(D41:G41)</f>
        <v>22.400000000000002</v>
      </c>
      <c r="I41" s="195"/>
      <c r="J41" s="195"/>
    </row>
    <row r="42" spans="1:10" ht="20.25" x14ac:dyDescent="0.25">
      <c r="A42" s="75"/>
      <c r="B42" s="74"/>
      <c r="C42" s="132"/>
      <c r="D42" s="75"/>
      <c r="E42" s="75"/>
      <c r="F42" s="118"/>
      <c r="G42" s="75"/>
      <c r="H42" s="129"/>
      <c r="I42" s="195"/>
      <c r="J42" s="195"/>
    </row>
    <row r="43" spans="1:10" ht="20.25" x14ac:dyDescent="0.25">
      <c r="A43" s="75" t="s">
        <v>100</v>
      </c>
      <c r="B43" s="74" t="s">
        <v>101</v>
      </c>
      <c r="C43" s="75"/>
      <c r="D43" s="118"/>
      <c r="E43" s="118"/>
      <c r="F43" s="119"/>
      <c r="G43" s="120"/>
      <c r="H43" s="129"/>
      <c r="I43" s="195"/>
      <c r="J43" s="195">
        <f>+ROUNDUP((H43*I43),0)</f>
        <v>0</v>
      </c>
    </row>
    <row r="44" spans="1:10" ht="40.5" x14ac:dyDescent="0.25">
      <c r="A44" s="75" t="s">
        <v>102</v>
      </c>
      <c r="B44" s="74" t="s">
        <v>313</v>
      </c>
      <c r="C44" s="75" t="s">
        <v>43</v>
      </c>
      <c r="D44" s="118"/>
      <c r="E44" s="118"/>
      <c r="F44" s="119"/>
      <c r="G44" s="120"/>
      <c r="H44" s="129">
        <f>SUM(H45:H48)</f>
        <v>100.67999999999998</v>
      </c>
      <c r="I44" s="195">
        <v>7997.3</v>
      </c>
      <c r="J44" s="195">
        <f>+ROUNDUP((H44*I44),0)</f>
        <v>805169</v>
      </c>
    </row>
    <row r="45" spans="1:10" ht="20.25" x14ac:dyDescent="0.25">
      <c r="A45" s="75"/>
      <c r="B45" s="74" t="str">
        <f>B32</f>
        <v xml:space="preserve">4 POLE FOUNDATION </v>
      </c>
      <c r="C45" s="75"/>
      <c r="D45" s="118">
        <v>4</v>
      </c>
      <c r="E45" s="118">
        <v>1</v>
      </c>
      <c r="F45" s="118">
        <v>1</v>
      </c>
      <c r="G45" s="120">
        <v>2</v>
      </c>
      <c r="H45" s="129">
        <f>PRODUCT(D45:G45)</f>
        <v>8</v>
      </c>
      <c r="I45" s="195"/>
      <c r="J45" s="195"/>
    </row>
    <row r="46" spans="1:10" ht="20.25" x14ac:dyDescent="0.25">
      <c r="A46" s="75"/>
      <c r="B46" s="74" t="str">
        <f>B33</f>
        <v xml:space="preserve">TRANS FORMER </v>
      </c>
      <c r="C46" s="75"/>
      <c r="D46" s="118">
        <v>2</v>
      </c>
      <c r="E46" s="118">
        <v>3.5</v>
      </c>
      <c r="F46" s="118">
        <v>3.5</v>
      </c>
      <c r="G46" s="120">
        <v>0.8</v>
      </c>
      <c r="H46" s="129">
        <f>PRODUCT(D46:G46)</f>
        <v>19.600000000000001</v>
      </c>
      <c r="I46" s="195"/>
      <c r="J46" s="195"/>
    </row>
    <row r="47" spans="1:10" ht="20.25" x14ac:dyDescent="0.25">
      <c r="A47" s="75"/>
      <c r="B47" s="74" t="str">
        <f>B34</f>
        <v xml:space="preserve">RCC CABLE TRENCH </v>
      </c>
      <c r="C47" s="75"/>
      <c r="D47" s="118">
        <v>1</v>
      </c>
      <c r="E47" s="118">
        <f>E34</f>
        <v>116</v>
      </c>
      <c r="F47" s="118">
        <f>F34-0.2</f>
        <v>1.1999999999999997</v>
      </c>
      <c r="G47" s="120">
        <v>0.15</v>
      </c>
      <c r="H47" s="129">
        <f>PRODUCT(D47:G47)</f>
        <v>20.879999999999992</v>
      </c>
      <c r="I47" s="195"/>
      <c r="J47" s="195"/>
    </row>
    <row r="48" spans="1:10" ht="20.25" x14ac:dyDescent="0.25">
      <c r="A48" s="75"/>
      <c r="B48" s="74" t="s">
        <v>363</v>
      </c>
      <c r="C48" s="75"/>
      <c r="D48" s="118">
        <v>2</v>
      </c>
      <c r="E48" s="118">
        <f>E47</f>
        <v>116</v>
      </c>
      <c r="F48" s="118">
        <v>0.15</v>
      </c>
      <c r="G48" s="120">
        <v>1.5</v>
      </c>
      <c r="H48" s="129">
        <f>PRODUCT(D48:G48)</f>
        <v>52.199999999999996</v>
      </c>
      <c r="I48" s="195"/>
      <c r="J48" s="195"/>
    </row>
    <row r="49" spans="1:10" ht="40.5" x14ac:dyDescent="0.25">
      <c r="A49" s="75" t="s">
        <v>110</v>
      </c>
      <c r="B49" s="74" t="s">
        <v>111</v>
      </c>
      <c r="C49" s="75" t="s">
        <v>112</v>
      </c>
      <c r="D49" s="127">
        <v>120</v>
      </c>
      <c r="E49" s="118">
        <f>H44</f>
        <v>100.67999999999998</v>
      </c>
      <c r="F49" s="119"/>
      <c r="H49" s="129">
        <f>PRODUCT(D49:G49)</f>
        <v>12081.599999999997</v>
      </c>
      <c r="I49" s="195">
        <v>89.65</v>
      </c>
      <c r="J49" s="195">
        <f>+ROUNDUP((H49*I49),0)</f>
        <v>1083116</v>
      </c>
    </row>
    <row r="50" spans="1:10" ht="101.25" x14ac:dyDescent="0.25">
      <c r="A50" s="75" t="s">
        <v>116</v>
      </c>
      <c r="B50" s="74" t="s">
        <v>364</v>
      </c>
      <c r="C50" s="75" t="s">
        <v>43</v>
      </c>
      <c r="D50" s="118"/>
      <c r="E50" s="118"/>
      <c r="F50" s="119"/>
      <c r="G50" s="120" t="s">
        <v>309</v>
      </c>
      <c r="H50" s="129">
        <f>SUM(H60:H60)</f>
        <v>0.5</v>
      </c>
      <c r="I50" s="195">
        <v>15762.45</v>
      </c>
      <c r="J50" s="195">
        <f>+ROUNDUP((H50*I50),0)</f>
        <v>7882</v>
      </c>
    </row>
    <row r="51" spans="1:10" ht="20.25" x14ac:dyDescent="0.25">
      <c r="A51" s="75"/>
      <c r="B51" s="74"/>
      <c r="C51" s="75"/>
      <c r="D51" s="118"/>
      <c r="E51" s="118"/>
      <c r="F51" s="119"/>
      <c r="G51" s="120"/>
      <c r="H51" s="129"/>
      <c r="I51" s="195"/>
      <c r="J51" s="195"/>
    </row>
    <row r="52" spans="1:10" ht="222.75" x14ac:dyDescent="0.25">
      <c r="A52" s="332">
        <v>13</v>
      </c>
      <c r="B52" s="334" t="s">
        <v>121</v>
      </c>
      <c r="C52" s="332"/>
      <c r="D52" s="118"/>
      <c r="E52" s="118"/>
      <c r="F52" s="119"/>
      <c r="G52" s="120"/>
      <c r="H52" s="129"/>
      <c r="I52" s="195"/>
      <c r="J52" s="195"/>
    </row>
    <row r="53" spans="1:10" ht="20.25" x14ac:dyDescent="0.25">
      <c r="A53" s="332">
        <v>13.1</v>
      </c>
      <c r="B53" s="333" t="s">
        <v>122</v>
      </c>
      <c r="C53" s="332"/>
      <c r="D53" s="118"/>
      <c r="E53" s="118"/>
      <c r="F53" s="119"/>
      <c r="G53" s="120"/>
      <c r="H53" s="129">
        <f>H50*2/0.2</f>
        <v>5</v>
      </c>
      <c r="I53" s="195">
        <v>294.85000000000002</v>
      </c>
      <c r="J53" s="195">
        <f>+ROUNDUP((H53*I53),0)</f>
        <v>1475</v>
      </c>
    </row>
    <row r="54" spans="1:10" ht="20.25" x14ac:dyDescent="0.25">
      <c r="A54" s="332" t="s">
        <v>123</v>
      </c>
      <c r="B54" s="333" t="s">
        <v>124</v>
      </c>
      <c r="C54" s="332" t="s">
        <v>73</v>
      </c>
      <c r="D54" s="118"/>
      <c r="E54" s="118"/>
      <c r="F54" s="119"/>
      <c r="G54" s="120"/>
      <c r="H54" s="129"/>
      <c r="I54" s="195"/>
      <c r="J54" s="195"/>
    </row>
    <row r="55" spans="1:10" ht="182.25" x14ac:dyDescent="0.25">
      <c r="A55" s="332"/>
      <c r="B55" s="334" t="s">
        <v>125</v>
      </c>
      <c r="C55" s="332"/>
      <c r="D55" s="118"/>
      <c r="E55" s="118"/>
      <c r="F55" s="119"/>
      <c r="G55" s="120"/>
      <c r="H55" s="129"/>
      <c r="I55" s="195"/>
      <c r="J55" s="195"/>
    </row>
    <row r="56" spans="1:10" ht="20.25" x14ac:dyDescent="0.25">
      <c r="A56" s="332">
        <v>13.3</v>
      </c>
      <c r="B56" s="335" t="s">
        <v>126</v>
      </c>
      <c r="C56" s="332"/>
      <c r="D56" s="118"/>
      <c r="E56" s="118"/>
      <c r="F56" s="119"/>
      <c r="G56" s="120"/>
      <c r="H56" s="129">
        <v>2.5</v>
      </c>
      <c r="I56" s="195">
        <v>402.15</v>
      </c>
      <c r="J56" s="195">
        <f>+ROUNDUP((H56*I56),0)</f>
        <v>1006</v>
      </c>
    </row>
    <row r="57" spans="1:10" ht="36.75" customHeight="1" x14ac:dyDescent="0.25">
      <c r="A57" s="332" t="s">
        <v>127</v>
      </c>
      <c r="B57" s="333" t="s">
        <v>124</v>
      </c>
      <c r="C57" s="332" t="s">
        <v>73</v>
      </c>
      <c r="D57" s="118"/>
      <c r="E57" s="118"/>
      <c r="F57" s="119"/>
      <c r="G57" s="120"/>
      <c r="H57" s="129"/>
      <c r="I57" s="195"/>
      <c r="J57" s="195"/>
    </row>
    <row r="58" spans="1:10" ht="20.25" x14ac:dyDescent="0.25">
      <c r="A58" s="75"/>
      <c r="B58" s="74"/>
      <c r="C58" s="75"/>
      <c r="D58" s="118"/>
      <c r="E58" s="118"/>
      <c r="F58" s="119"/>
      <c r="G58" s="120"/>
      <c r="H58" s="129"/>
      <c r="I58" s="195"/>
      <c r="J58" s="195"/>
    </row>
    <row r="59" spans="1:10" ht="20.25" x14ac:dyDescent="0.25">
      <c r="A59" s="75"/>
      <c r="B59" s="74"/>
      <c r="C59" s="75"/>
      <c r="D59" s="118"/>
      <c r="E59" s="118"/>
      <c r="F59" s="119"/>
      <c r="G59" s="120"/>
      <c r="H59" s="129"/>
      <c r="I59" s="195"/>
      <c r="J59" s="195"/>
    </row>
    <row r="60" spans="1:10" ht="23.25" x14ac:dyDescent="0.25">
      <c r="A60" s="139">
        <v>1034</v>
      </c>
      <c r="B60" s="140" t="s">
        <v>205</v>
      </c>
      <c r="C60" s="141" t="s">
        <v>206</v>
      </c>
      <c r="D60" s="141"/>
      <c r="E60" s="141"/>
      <c r="F60" s="141"/>
      <c r="G60" s="141"/>
      <c r="H60" s="141">
        <v>0.5</v>
      </c>
      <c r="I60" s="200">
        <v>5200</v>
      </c>
      <c r="J60" s="200">
        <f>I60*H60</f>
        <v>2600</v>
      </c>
    </row>
    <row r="61" spans="1:10" ht="101.25" x14ac:dyDescent="0.25">
      <c r="A61" s="124">
        <v>16.7</v>
      </c>
      <c r="B61" s="74" t="s">
        <v>220</v>
      </c>
      <c r="C61" s="75"/>
      <c r="D61" s="118"/>
      <c r="E61" s="118"/>
      <c r="F61" s="119"/>
      <c r="G61" s="120"/>
      <c r="H61" s="129"/>
      <c r="I61" s="195"/>
      <c r="J61" s="195">
        <f t="shared" ref="J61:J68" si="2">+ROUNDUP((H61*I61),0)</f>
        <v>0</v>
      </c>
    </row>
    <row r="62" spans="1:10" ht="81" x14ac:dyDescent="0.25">
      <c r="A62" s="124" t="s">
        <v>223</v>
      </c>
      <c r="B62" s="74" t="s">
        <v>224</v>
      </c>
      <c r="C62" s="75" t="s">
        <v>73</v>
      </c>
      <c r="D62" s="118"/>
      <c r="E62" s="118"/>
      <c r="F62" s="119"/>
      <c r="G62" s="119"/>
      <c r="H62" s="129">
        <f>H63</f>
        <v>72</v>
      </c>
      <c r="I62" s="195">
        <v>901.65</v>
      </c>
      <c r="J62" s="195">
        <f t="shared" si="2"/>
        <v>64919</v>
      </c>
    </row>
    <row r="63" spans="1:10" ht="20.25" x14ac:dyDescent="0.25">
      <c r="A63" s="124"/>
      <c r="B63" s="74"/>
      <c r="C63" s="75"/>
      <c r="D63" s="118"/>
      <c r="E63" s="118">
        <v>40</v>
      </c>
      <c r="F63" s="119"/>
      <c r="G63" s="120">
        <v>1.8</v>
      </c>
      <c r="H63" s="129">
        <f>PRODUCT(E63:G63)</f>
        <v>72</v>
      </c>
      <c r="I63" s="195"/>
      <c r="J63" s="195">
        <f t="shared" si="2"/>
        <v>0</v>
      </c>
    </row>
    <row r="64" spans="1:10" ht="121.5" x14ac:dyDescent="0.25">
      <c r="A64" s="124">
        <v>10.25</v>
      </c>
      <c r="B64" s="74" t="s">
        <v>230</v>
      </c>
      <c r="C64" s="75"/>
      <c r="D64" s="118"/>
      <c r="E64" s="118"/>
      <c r="F64" s="119"/>
      <c r="G64" s="120"/>
      <c r="H64" s="129"/>
      <c r="I64" s="195"/>
      <c r="J64" s="195">
        <f t="shared" si="2"/>
        <v>0</v>
      </c>
    </row>
    <row r="65" spans="1:10" ht="60.75" x14ac:dyDescent="0.25">
      <c r="A65" s="124" t="s">
        <v>233</v>
      </c>
      <c r="B65" s="74" t="s">
        <v>234</v>
      </c>
      <c r="C65" s="75" t="s">
        <v>211</v>
      </c>
      <c r="D65" s="118"/>
      <c r="E65" s="118"/>
      <c r="F65" s="119"/>
      <c r="G65" s="120">
        <f>40.1*116</f>
        <v>4651.6000000000004</v>
      </c>
      <c r="H65" s="129">
        <f>G65</f>
        <v>4651.6000000000004</v>
      </c>
      <c r="I65" s="195">
        <v>142.30000000000001</v>
      </c>
      <c r="J65" s="195">
        <f t="shared" si="2"/>
        <v>661923</v>
      </c>
    </row>
    <row r="66" spans="1:10" ht="20.25" x14ac:dyDescent="0.25">
      <c r="A66" s="123">
        <v>2612</v>
      </c>
      <c r="B66" s="74" t="s">
        <v>235</v>
      </c>
      <c r="C66" s="75" t="s">
        <v>236</v>
      </c>
      <c r="D66" s="118"/>
      <c r="E66" s="118"/>
      <c r="F66" s="119"/>
      <c r="G66" s="120"/>
      <c r="H66" s="129"/>
      <c r="I66" s="195">
        <v>11</v>
      </c>
      <c r="J66" s="195">
        <f t="shared" si="2"/>
        <v>0</v>
      </c>
    </row>
    <row r="67" spans="1:10" ht="101.25" x14ac:dyDescent="0.25">
      <c r="A67" s="76" t="s">
        <v>138</v>
      </c>
      <c r="B67" s="77" t="s">
        <v>229</v>
      </c>
      <c r="C67" s="78" t="s">
        <v>228</v>
      </c>
      <c r="D67" s="12"/>
      <c r="E67" s="12">
        <v>1.5</v>
      </c>
      <c r="F67" s="12"/>
      <c r="G67" s="12">
        <v>2.1</v>
      </c>
      <c r="H67" s="8">
        <f>PRODUCT(D67:G67)</f>
        <v>3.1500000000000004</v>
      </c>
      <c r="I67" s="196">
        <v>5722</v>
      </c>
      <c r="J67" s="195">
        <f t="shared" si="2"/>
        <v>18025</v>
      </c>
    </row>
    <row r="68" spans="1:10" ht="20.25" x14ac:dyDescent="0.25">
      <c r="A68" s="122"/>
      <c r="B68" s="74"/>
      <c r="C68" s="75"/>
      <c r="D68" s="118"/>
      <c r="E68" s="118"/>
      <c r="F68" s="119"/>
      <c r="G68" s="120"/>
      <c r="H68" s="129"/>
      <c r="I68" s="195"/>
      <c r="J68" s="195">
        <f t="shared" si="2"/>
        <v>0</v>
      </c>
    </row>
    <row r="69" spans="1:10" ht="20.25" x14ac:dyDescent="0.25">
      <c r="A69" s="122"/>
      <c r="B69" s="74"/>
      <c r="C69" s="75"/>
      <c r="D69" s="118"/>
      <c r="E69" s="125"/>
      <c r="F69" s="131"/>
      <c r="G69" s="132"/>
      <c r="H69" s="132"/>
      <c r="I69" s="195"/>
      <c r="J69" s="194"/>
    </row>
    <row r="70" spans="1:10" ht="20.25" x14ac:dyDescent="0.3">
      <c r="A70" s="607"/>
      <c r="B70" s="607"/>
      <c r="C70" s="607"/>
      <c r="D70" s="607"/>
      <c r="E70" s="118"/>
      <c r="F70" s="131"/>
      <c r="G70" s="132"/>
      <c r="H70" s="132"/>
      <c r="I70" s="197"/>
      <c r="J70" s="195">
        <f>SUM(J7:J69)</f>
        <v>3491814</v>
      </c>
    </row>
  </sheetData>
  <protectedRanges>
    <protectedRange sqref="I67" name="Range2_46_26"/>
    <protectedRange sqref="J2" name="Range1"/>
  </protectedRanges>
  <mergeCells count="7">
    <mergeCell ref="B28:B29"/>
    <mergeCell ref="A70:D70"/>
    <mergeCell ref="A1:J1"/>
    <mergeCell ref="B2:G2"/>
    <mergeCell ref="I2:J2"/>
    <mergeCell ref="A3:J3"/>
    <mergeCell ref="A4:J4"/>
  </mergeCells>
  <phoneticPr fontId="1" type="noConversion"/>
  <conditionalFormatting sqref="A67">
    <cfRule type="cellIs" dxfId="36" priority="7" stopIfTrue="1" operator="equal">
      <formula>#REF!</formula>
    </cfRule>
  </conditionalFormatting>
  <conditionalFormatting sqref="B52 B55">
    <cfRule type="cellIs" dxfId="35" priority="1" stopIfTrue="1" operator="equal">
      <formula>#REF!</formula>
    </cfRule>
  </conditionalFormatting>
  <conditionalFormatting sqref="B60">
    <cfRule type="cellIs" dxfId="34" priority="2" stopIfTrue="1" operator="equal">
      <formula>#REF!</formula>
    </cfRule>
  </conditionalFormatting>
  <conditionalFormatting sqref="B67">
    <cfRule type="cellIs" dxfId="33" priority="5" stopIfTrue="1" operator="equal">
      <formula>#REF!</formula>
    </cfRule>
  </conditionalFormatting>
  <conditionalFormatting sqref="B67:C67">
    <cfRule type="cellIs" dxfId="32" priority="4" stopIfTrue="1" operator="equal">
      <formula>#REF!</formula>
    </cfRule>
  </conditionalFormatting>
  <conditionalFormatting sqref="I67">
    <cfRule type="cellIs" dxfId="31" priority="6" stopIfTrue="1" operator="equal">
      <formula>#REF!</formula>
    </cfRule>
  </conditionalFormatting>
  <pageMargins left="0.7" right="0.7" top="0.75" bottom="0.75" header="0.3" footer="0.3"/>
  <pageSetup scale="24" orientation="portrait" r:id="rId1"/>
  <rowBreaks count="1" manualBreakCount="1">
    <brk id="36" max="16383"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W148"/>
  <sheetViews>
    <sheetView view="pageBreakPreview" zoomScale="60" zoomScaleNormal="60" workbookViewId="0">
      <selection activeCell="I8" sqref="I8"/>
    </sheetView>
  </sheetViews>
  <sheetFormatPr defaultColWidth="9.140625" defaultRowHeight="12.75" x14ac:dyDescent="0.2"/>
  <cols>
    <col min="1" max="1" width="13.85546875" style="7" customWidth="1"/>
    <col min="2" max="2" width="76.28515625" style="55" customWidth="1"/>
    <col min="3" max="8" width="14.42578125" style="7" customWidth="1"/>
    <col min="9" max="9" width="21.85546875" style="56" customWidth="1"/>
    <col min="10" max="10" width="15" style="166" customWidth="1"/>
    <col min="11" max="11" width="15" style="182" hidden="1" customWidth="1"/>
    <col min="12" max="12" width="26.42578125" style="166" customWidth="1"/>
    <col min="13" max="13" width="23.85546875" style="7" customWidth="1"/>
    <col min="14" max="14" width="40.7109375" style="7" customWidth="1"/>
    <col min="15" max="17" width="9.140625" style="7" customWidth="1"/>
    <col min="18" max="18" width="11.85546875" style="7" customWidth="1"/>
    <col min="19" max="19" width="15.7109375" style="7" customWidth="1"/>
    <col min="20" max="21" width="10" style="7" customWidth="1"/>
    <col min="22" max="22" width="9.140625" style="7" customWidth="1"/>
    <col min="23" max="23" width="17.5703125" style="7" customWidth="1"/>
    <col min="24" max="24" width="9.140625" style="7" customWidth="1"/>
    <col min="25" max="16384" width="9.140625" style="7"/>
  </cols>
  <sheetData>
    <row r="1" spans="1:14" ht="195.75" customHeight="1" x14ac:dyDescent="0.2">
      <c r="A1" s="559"/>
      <c r="B1" s="559"/>
      <c r="C1" s="559"/>
      <c r="D1" s="559"/>
      <c r="E1" s="559"/>
      <c r="F1" s="559"/>
      <c r="G1" s="559"/>
      <c r="H1" s="559"/>
      <c r="I1" s="559"/>
      <c r="J1" s="559"/>
      <c r="K1" s="559"/>
      <c r="L1" s="559"/>
      <c r="M1" s="559"/>
      <c r="N1" s="560"/>
    </row>
    <row r="2" spans="1:14" ht="54" customHeight="1" x14ac:dyDescent="0.2">
      <c r="A2" s="162"/>
      <c r="B2" s="563" t="s">
        <v>13</v>
      </c>
      <c r="C2" s="564"/>
      <c r="D2" s="564"/>
      <c r="E2" s="564"/>
      <c r="F2" s="564"/>
      <c r="G2" s="564"/>
      <c r="H2" s="564"/>
      <c r="I2" s="564"/>
      <c r="J2" s="564"/>
      <c r="K2" s="564"/>
      <c r="L2" s="565"/>
      <c r="M2" s="566" t="s">
        <v>14</v>
      </c>
      <c r="N2" s="567"/>
    </row>
    <row r="3" spans="1:14" ht="63.75" customHeight="1" x14ac:dyDescent="0.2">
      <c r="A3" s="569"/>
      <c r="B3" s="569"/>
      <c r="C3" s="569"/>
      <c r="D3" s="569"/>
      <c r="E3" s="569"/>
      <c r="F3" s="569"/>
      <c r="G3" s="569"/>
      <c r="H3" s="569"/>
      <c r="I3" s="569"/>
      <c r="J3" s="569"/>
      <c r="K3" s="569"/>
      <c r="L3" s="569"/>
      <c r="M3" s="569"/>
      <c r="N3" s="570"/>
    </row>
    <row r="4" spans="1:14" ht="93" customHeight="1" x14ac:dyDescent="0.2">
      <c r="A4" s="554"/>
      <c r="B4" s="554"/>
      <c r="C4" s="554"/>
      <c r="D4" s="554"/>
      <c r="E4" s="554"/>
      <c r="F4" s="554"/>
      <c r="G4" s="554"/>
      <c r="H4" s="554"/>
      <c r="I4" s="554"/>
      <c r="J4" s="554"/>
      <c r="K4" s="554"/>
      <c r="L4" s="554"/>
      <c r="M4" s="554"/>
      <c r="N4" s="555"/>
    </row>
    <row r="5" spans="1:14" ht="60.75" x14ac:dyDescent="0.2">
      <c r="A5" s="64" t="s">
        <v>17</v>
      </c>
      <c r="B5" s="18" t="s">
        <v>18</v>
      </c>
      <c r="C5" s="19" t="s">
        <v>19</v>
      </c>
      <c r="D5" s="19"/>
      <c r="E5" s="20" t="s">
        <v>180</v>
      </c>
      <c r="F5" s="20" t="s">
        <v>302</v>
      </c>
      <c r="G5" s="20" t="s">
        <v>303</v>
      </c>
      <c r="H5" s="20" t="s">
        <v>304</v>
      </c>
      <c r="I5" s="21" t="s">
        <v>305</v>
      </c>
      <c r="J5" s="170" t="s">
        <v>37</v>
      </c>
      <c r="K5" s="175" t="s">
        <v>306</v>
      </c>
      <c r="L5" s="21" t="s">
        <v>38</v>
      </c>
      <c r="M5" s="22" t="s">
        <v>39</v>
      </c>
      <c r="N5" s="23" t="s">
        <v>40</v>
      </c>
    </row>
    <row r="6" spans="1:14" ht="22.5" x14ac:dyDescent="0.2">
      <c r="A6" s="65"/>
      <c r="B6" s="25"/>
      <c r="C6" s="20"/>
      <c r="D6" s="20"/>
      <c r="E6" s="20"/>
      <c r="F6" s="20"/>
      <c r="G6" s="20"/>
      <c r="H6" s="20"/>
      <c r="I6" s="26"/>
      <c r="J6" s="101"/>
      <c r="K6" s="176"/>
      <c r="L6" s="26"/>
      <c r="M6" s="6"/>
      <c r="N6" s="27"/>
    </row>
    <row r="7" spans="1:14" ht="147" customHeight="1" x14ac:dyDescent="0.2">
      <c r="A7" s="5">
        <v>2.6</v>
      </c>
      <c r="B7" s="33" t="s">
        <v>41</v>
      </c>
      <c r="C7" s="3"/>
      <c r="D7" s="3"/>
      <c r="E7" s="3"/>
      <c r="F7" s="3"/>
      <c r="G7" s="3"/>
      <c r="H7" s="3"/>
      <c r="I7" s="14"/>
      <c r="J7" s="99"/>
      <c r="K7" s="177"/>
      <c r="L7" s="99"/>
      <c r="M7" s="6"/>
      <c r="N7" s="27"/>
    </row>
    <row r="8" spans="1:14" ht="21" x14ac:dyDescent="0.2">
      <c r="A8" s="5"/>
      <c r="B8" s="33" t="s">
        <v>42</v>
      </c>
      <c r="C8" s="3" t="s">
        <v>43</v>
      </c>
      <c r="D8" s="3"/>
      <c r="E8" s="3"/>
      <c r="F8" s="3"/>
      <c r="G8" s="3"/>
      <c r="H8" s="3"/>
      <c r="I8" s="14">
        <f>SUM(I9:I13)</f>
        <v>165.94567999999998</v>
      </c>
      <c r="J8" s="99">
        <v>205.45</v>
      </c>
      <c r="K8" s="177">
        <v>215.04451499999999</v>
      </c>
      <c r="L8" s="99">
        <f>J8*I8</f>
        <v>34093.539955999993</v>
      </c>
      <c r="M8" s="6"/>
      <c r="N8" s="27"/>
    </row>
    <row r="9" spans="1:14" ht="21" x14ac:dyDescent="0.2">
      <c r="A9" s="5"/>
      <c r="B9" s="33" t="s">
        <v>365</v>
      </c>
      <c r="C9" s="3"/>
      <c r="D9" s="3"/>
      <c r="E9" s="14">
        <v>1</v>
      </c>
      <c r="F9" s="14">
        <f>6+0.6</f>
        <v>6.6</v>
      </c>
      <c r="G9" s="14">
        <f>6+0.6</f>
        <v>6.6</v>
      </c>
      <c r="H9" s="14">
        <v>1.5</v>
      </c>
      <c r="I9" s="14">
        <f>PRODUCT(E9:H9)</f>
        <v>65.339999999999989</v>
      </c>
      <c r="J9" s="99"/>
      <c r="K9" s="177"/>
      <c r="L9" s="99"/>
      <c r="M9" s="6"/>
      <c r="N9" s="27"/>
    </row>
    <row r="10" spans="1:14" ht="21" x14ac:dyDescent="0.2">
      <c r="A10" s="5"/>
      <c r="B10" s="3" t="s">
        <v>366</v>
      </c>
      <c r="C10" s="3"/>
      <c r="D10" s="3"/>
      <c r="E10" s="14"/>
      <c r="F10" s="14">
        <v>8.15</v>
      </c>
      <c r="G10" s="14">
        <f>1.2+0.6</f>
        <v>1.7999999999999998</v>
      </c>
      <c r="H10" s="14">
        <v>0.7</v>
      </c>
      <c r="I10" s="14">
        <f>PRODUCT(E10:H10)</f>
        <v>10.269</v>
      </c>
      <c r="J10" s="99"/>
      <c r="K10" s="177"/>
      <c r="L10" s="99"/>
      <c r="M10" s="6"/>
      <c r="N10" s="27"/>
    </row>
    <row r="11" spans="1:14" ht="21" x14ac:dyDescent="0.2">
      <c r="A11" s="5"/>
      <c r="B11" s="3" t="s">
        <v>367</v>
      </c>
      <c r="C11" s="3"/>
      <c r="D11" s="3"/>
      <c r="E11" s="14"/>
      <c r="F11" s="14">
        <v>29.625</v>
      </c>
      <c r="G11" s="14">
        <f>0.9+0.6</f>
        <v>1.5</v>
      </c>
      <c r="H11" s="14">
        <v>0.7</v>
      </c>
      <c r="I11" s="14">
        <f>PRODUCT(E11:H11)</f>
        <v>31.106249999999999</v>
      </c>
      <c r="J11" s="99"/>
      <c r="K11" s="177"/>
      <c r="L11" s="99"/>
      <c r="M11" s="6"/>
      <c r="N11" s="27"/>
    </row>
    <row r="12" spans="1:14" ht="21" x14ac:dyDescent="0.2">
      <c r="A12" s="5"/>
      <c r="B12" s="3" t="s">
        <v>368</v>
      </c>
      <c r="C12" s="3"/>
      <c r="D12" s="3"/>
      <c r="E12" s="14"/>
      <c r="F12" s="14">
        <f>(11.231*3)+3.89+3.89</f>
        <v>41.472999999999999</v>
      </c>
      <c r="G12" s="14">
        <f>0.7+0.6</f>
        <v>1.2999999999999998</v>
      </c>
      <c r="H12" s="14">
        <v>0.7</v>
      </c>
      <c r="I12" s="14">
        <f>PRODUCT(E12:H12)</f>
        <v>37.740429999999989</v>
      </c>
      <c r="J12" s="99"/>
      <c r="K12" s="177"/>
      <c r="L12" s="99"/>
      <c r="M12" s="6"/>
      <c r="N12" s="27"/>
    </row>
    <row r="13" spans="1:14" ht="21" x14ac:dyDescent="0.2">
      <c r="A13" s="5"/>
      <c r="B13" s="3" t="s">
        <v>369</v>
      </c>
      <c r="C13" s="3"/>
      <c r="D13" s="3"/>
      <c r="E13" s="14"/>
      <c r="F13" s="14">
        <f>26.4+4.3</f>
        <v>30.7</v>
      </c>
      <c r="G13" s="14">
        <f>0.4+0.6</f>
        <v>1</v>
      </c>
      <c r="H13" s="14">
        <v>0.7</v>
      </c>
      <c r="I13" s="14">
        <f>PRODUCT(E13:H13)</f>
        <v>21.49</v>
      </c>
      <c r="J13" s="99"/>
      <c r="K13" s="177"/>
      <c r="L13" s="99"/>
      <c r="M13" s="6"/>
      <c r="N13" s="27"/>
    </row>
    <row r="14" spans="1:14" ht="21" x14ac:dyDescent="0.2">
      <c r="A14" s="5"/>
      <c r="B14" s="3"/>
      <c r="C14" s="3"/>
      <c r="D14" s="3"/>
      <c r="E14" s="14"/>
      <c r="F14" s="14"/>
      <c r="G14" s="14"/>
      <c r="H14" s="14"/>
      <c r="I14" s="14"/>
      <c r="J14" s="99"/>
      <c r="K14" s="177"/>
      <c r="L14" s="99"/>
      <c r="M14" s="6"/>
      <c r="N14" s="27"/>
    </row>
    <row r="15" spans="1:14" ht="21" x14ac:dyDescent="0.2">
      <c r="A15" s="5"/>
      <c r="B15" s="33"/>
      <c r="C15" s="3"/>
      <c r="D15" s="3"/>
      <c r="E15" s="14"/>
      <c r="F15" s="14"/>
      <c r="G15" s="14"/>
      <c r="H15" s="14"/>
      <c r="I15" s="14"/>
      <c r="J15" s="99"/>
      <c r="K15" s="177"/>
      <c r="L15" s="99"/>
      <c r="M15" s="6"/>
      <c r="N15" s="27"/>
    </row>
    <row r="16" spans="1:14" ht="126" customHeight="1" x14ac:dyDescent="0.2">
      <c r="A16" s="5">
        <v>2.7</v>
      </c>
      <c r="B16" s="33" t="s">
        <v>44</v>
      </c>
      <c r="C16" s="3"/>
      <c r="D16" s="3"/>
      <c r="E16" s="3"/>
      <c r="F16" s="3"/>
      <c r="G16" s="3"/>
      <c r="H16" s="14"/>
      <c r="I16" s="14"/>
      <c r="J16" s="99"/>
      <c r="K16" s="99">
        <v>0</v>
      </c>
      <c r="L16" s="99">
        <f t="shared" ref="L16:L24" si="0">J16*I16</f>
        <v>0</v>
      </c>
      <c r="M16" s="6"/>
      <c r="N16" s="27"/>
    </row>
    <row r="17" spans="1:14" ht="81" customHeight="1" x14ac:dyDescent="0.2">
      <c r="A17" s="5" t="s">
        <v>45</v>
      </c>
      <c r="B17" s="33" t="s">
        <v>46</v>
      </c>
      <c r="C17" s="3" t="s">
        <v>43</v>
      </c>
      <c r="D17" s="3"/>
      <c r="E17" s="3"/>
      <c r="F17" s="3"/>
      <c r="G17" s="3"/>
      <c r="H17" s="3"/>
      <c r="I17" s="14"/>
      <c r="J17" s="99">
        <v>412.95</v>
      </c>
      <c r="K17" s="177">
        <v>215.023065</v>
      </c>
      <c r="L17" s="99">
        <f t="shared" si="0"/>
        <v>0</v>
      </c>
      <c r="M17" s="6"/>
      <c r="N17" s="27"/>
    </row>
    <row r="18" spans="1:14" ht="60.75" x14ac:dyDescent="0.2">
      <c r="A18" s="29">
        <v>2.2599999999999998</v>
      </c>
      <c r="B18" s="30" t="s">
        <v>47</v>
      </c>
      <c r="C18" s="31"/>
      <c r="D18" s="31"/>
      <c r="E18" s="31"/>
      <c r="F18" s="31"/>
      <c r="G18" s="31"/>
      <c r="H18" s="31"/>
      <c r="I18" s="14"/>
      <c r="J18" s="99"/>
      <c r="K18" s="177">
        <v>0</v>
      </c>
      <c r="L18" s="99">
        <f t="shared" si="0"/>
        <v>0</v>
      </c>
      <c r="M18" s="6"/>
      <c r="N18" s="27"/>
    </row>
    <row r="19" spans="1:14" ht="20.25" x14ac:dyDescent="0.2">
      <c r="A19" s="29" t="s">
        <v>48</v>
      </c>
      <c r="B19" s="30" t="s">
        <v>49</v>
      </c>
      <c r="C19" s="31" t="s">
        <v>50</v>
      </c>
      <c r="D19" s="31"/>
      <c r="E19" s="31"/>
      <c r="F19" s="31"/>
      <c r="G19" s="31"/>
      <c r="H19" s="31"/>
      <c r="I19" s="14"/>
      <c r="J19" s="178">
        <v>105</v>
      </c>
      <c r="K19" s="177">
        <v>91.845050000000001</v>
      </c>
      <c r="L19" s="99">
        <f t="shared" si="0"/>
        <v>0</v>
      </c>
      <c r="M19" s="6"/>
      <c r="N19" s="27"/>
    </row>
    <row r="20" spans="1:14" ht="20.25" x14ac:dyDescent="0.2">
      <c r="A20" s="29" t="s">
        <v>51</v>
      </c>
      <c r="B20" s="30" t="s">
        <v>52</v>
      </c>
      <c r="C20" s="31" t="s">
        <v>50</v>
      </c>
      <c r="D20" s="31"/>
      <c r="E20" s="31"/>
      <c r="F20" s="31"/>
      <c r="G20" s="31"/>
      <c r="H20" s="31"/>
      <c r="I20" s="14"/>
      <c r="J20" s="178">
        <v>187</v>
      </c>
      <c r="K20" s="177">
        <v>182.56507999999999</v>
      </c>
      <c r="L20" s="99">
        <f t="shared" si="0"/>
        <v>0</v>
      </c>
      <c r="M20" s="6"/>
      <c r="N20" s="27"/>
    </row>
    <row r="21" spans="1:14" ht="189" x14ac:dyDescent="0.2">
      <c r="A21" s="5">
        <v>2.13</v>
      </c>
      <c r="B21" s="33" t="s">
        <v>53</v>
      </c>
      <c r="C21" s="3"/>
      <c r="D21" s="3"/>
      <c r="E21" s="3"/>
      <c r="F21" s="3"/>
      <c r="G21" s="3"/>
      <c r="H21" s="3"/>
      <c r="I21" s="14"/>
      <c r="J21" s="99"/>
      <c r="K21" s="177">
        <v>0</v>
      </c>
      <c r="L21" s="99">
        <f t="shared" si="0"/>
        <v>0</v>
      </c>
      <c r="M21" s="6"/>
      <c r="N21" s="27"/>
    </row>
    <row r="22" spans="1:14" ht="42" x14ac:dyDescent="0.2">
      <c r="A22" s="5" t="s">
        <v>54</v>
      </c>
      <c r="B22" s="33" t="s">
        <v>55</v>
      </c>
      <c r="C22" s="3" t="s">
        <v>56</v>
      </c>
      <c r="D22" s="3"/>
      <c r="E22" s="3"/>
      <c r="F22" s="3"/>
      <c r="G22" s="3"/>
      <c r="H22" s="3"/>
      <c r="I22" s="14"/>
      <c r="J22" s="99">
        <v>933.35</v>
      </c>
      <c r="K22" s="177">
        <v>616.01099999999997</v>
      </c>
      <c r="L22" s="99">
        <f t="shared" si="0"/>
        <v>0</v>
      </c>
      <c r="M22" s="6"/>
      <c r="N22" s="27"/>
    </row>
    <row r="23" spans="1:14" ht="42" x14ac:dyDescent="0.2">
      <c r="A23" s="5" t="s">
        <v>57</v>
      </c>
      <c r="B23" s="33" t="s">
        <v>58</v>
      </c>
      <c r="C23" s="3" t="s">
        <v>56</v>
      </c>
      <c r="D23" s="3"/>
      <c r="E23" s="3"/>
      <c r="F23" s="3"/>
      <c r="G23" s="3"/>
      <c r="H23" s="3"/>
      <c r="I23" s="14"/>
      <c r="J23" s="99">
        <v>1074</v>
      </c>
      <c r="K23" s="177">
        <v>873.59159999999997</v>
      </c>
      <c r="L23" s="99">
        <f t="shared" si="0"/>
        <v>0</v>
      </c>
      <c r="M23" s="6"/>
      <c r="N23" s="27"/>
    </row>
    <row r="24" spans="1:14" ht="105" x14ac:dyDescent="0.2">
      <c r="A24" s="5">
        <v>2.25</v>
      </c>
      <c r="B24" s="33" t="s">
        <v>59</v>
      </c>
      <c r="C24" s="3" t="s">
        <v>60</v>
      </c>
      <c r="D24" s="3"/>
      <c r="E24" s="3"/>
      <c r="F24" s="3"/>
      <c r="G24" s="3"/>
      <c r="H24" s="3"/>
      <c r="I24" s="14">
        <f>SUM(I25:I28)</f>
        <v>93.302359999999993</v>
      </c>
      <c r="J24" s="99">
        <v>253.95</v>
      </c>
      <c r="K24" s="177">
        <v>182.56465499999999</v>
      </c>
      <c r="L24" s="99">
        <f t="shared" si="0"/>
        <v>23694.134321999998</v>
      </c>
      <c r="M24" s="6"/>
      <c r="N24" s="27"/>
    </row>
    <row r="25" spans="1:14" ht="21" x14ac:dyDescent="0.2">
      <c r="A25" s="5"/>
      <c r="B25" s="33"/>
      <c r="C25" s="3"/>
      <c r="D25" s="3"/>
      <c r="E25" s="3"/>
      <c r="F25" s="3"/>
      <c r="G25" s="3"/>
      <c r="H25" s="14">
        <f>I8</f>
        <v>165.94567999999998</v>
      </c>
      <c r="I25" s="14">
        <f>PRODUCT(H25)</f>
        <v>165.94567999999998</v>
      </c>
      <c r="J25" s="99"/>
      <c r="K25" s="177"/>
      <c r="L25" s="99"/>
      <c r="M25" s="6"/>
      <c r="N25" s="27"/>
    </row>
    <row r="26" spans="1:14" ht="21" x14ac:dyDescent="0.2">
      <c r="A26" s="5"/>
      <c r="B26" s="33" t="s">
        <v>337</v>
      </c>
      <c r="C26" s="3"/>
      <c r="D26" s="3"/>
      <c r="E26" s="3"/>
      <c r="F26" s="3"/>
      <c r="G26" s="3"/>
      <c r="H26" s="14">
        <f>-I44</f>
        <v>-13.818320000000002</v>
      </c>
      <c r="I26" s="14">
        <f>PRODUCT(H26)</f>
        <v>-13.818320000000002</v>
      </c>
      <c r="J26" s="99"/>
      <c r="K26" s="177"/>
      <c r="L26" s="99"/>
      <c r="M26" s="6"/>
      <c r="N26" s="27"/>
    </row>
    <row r="27" spans="1:14" ht="21" x14ac:dyDescent="0.2">
      <c r="A27" s="5"/>
      <c r="B27" s="33" t="s">
        <v>338</v>
      </c>
      <c r="C27" s="3"/>
      <c r="D27" s="3"/>
      <c r="E27" s="3"/>
      <c r="F27" s="3"/>
      <c r="G27" s="3"/>
      <c r="H27" s="14">
        <f>-SUM(I96:I99)</f>
        <v>-58.824999999999996</v>
      </c>
      <c r="I27" s="14">
        <f>PRODUCT(H27)</f>
        <v>-58.824999999999996</v>
      </c>
      <c r="J27" s="99"/>
      <c r="K27" s="177"/>
      <c r="L27" s="99"/>
      <c r="M27" s="6"/>
      <c r="N27" s="27"/>
    </row>
    <row r="28" spans="1:14" ht="21" x14ac:dyDescent="0.2">
      <c r="A28" s="5"/>
      <c r="B28" s="33" t="s">
        <v>339</v>
      </c>
      <c r="C28" s="3"/>
      <c r="D28" s="3"/>
      <c r="E28" s="3"/>
      <c r="F28" s="3"/>
      <c r="G28" s="3"/>
      <c r="H28" s="14"/>
      <c r="I28" s="14">
        <f>PRODUCT(H28)</f>
        <v>0</v>
      </c>
      <c r="J28" s="99"/>
      <c r="K28" s="177"/>
      <c r="L28" s="99"/>
      <c r="M28" s="6"/>
      <c r="N28" s="27"/>
    </row>
    <row r="29" spans="1:14" ht="84" x14ac:dyDescent="0.2">
      <c r="A29" s="5">
        <v>1.1000000000000001</v>
      </c>
      <c r="B29" s="33" t="s">
        <v>61</v>
      </c>
      <c r="C29" s="6"/>
      <c r="D29" s="6"/>
      <c r="E29" s="6"/>
      <c r="F29" s="6"/>
      <c r="G29" s="6"/>
      <c r="H29" s="6"/>
      <c r="I29" s="14"/>
      <c r="J29" s="99"/>
      <c r="K29" s="177">
        <v>0</v>
      </c>
      <c r="L29" s="99">
        <f>J29*I29</f>
        <v>0</v>
      </c>
      <c r="M29" s="6"/>
      <c r="N29" s="27"/>
    </row>
    <row r="30" spans="1:14" ht="21" x14ac:dyDescent="0.2">
      <c r="A30" s="5" t="s">
        <v>62</v>
      </c>
      <c r="B30" s="33" t="s">
        <v>63</v>
      </c>
      <c r="C30" s="3" t="s">
        <v>60</v>
      </c>
      <c r="D30" s="3"/>
      <c r="E30" s="3"/>
      <c r="F30" s="3"/>
      <c r="G30" s="3"/>
      <c r="H30" s="3"/>
      <c r="I30" s="14">
        <f>I8-I24</f>
        <v>72.643319999999989</v>
      </c>
      <c r="J30" s="99">
        <v>271.45</v>
      </c>
      <c r="K30" s="177">
        <v>98.563495000000003</v>
      </c>
      <c r="L30" s="99">
        <f>J30*I30</f>
        <v>19719.029213999995</v>
      </c>
      <c r="M30" s="6"/>
      <c r="N30" s="27"/>
    </row>
    <row r="31" spans="1:14" ht="21" x14ac:dyDescent="0.2">
      <c r="A31" s="5" t="s">
        <v>64</v>
      </c>
      <c r="B31" s="33" t="s">
        <v>65</v>
      </c>
      <c r="C31" s="3" t="s">
        <v>60</v>
      </c>
      <c r="D31" s="3"/>
      <c r="E31" s="3"/>
      <c r="F31" s="3"/>
      <c r="G31" s="3"/>
      <c r="H31" s="3"/>
      <c r="I31" s="14"/>
      <c r="J31" s="99">
        <v>434.32</v>
      </c>
      <c r="K31" s="177">
        <v>147.84252799999999</v>
      </c>
      <c r="L31" s="99">
        <f>J31*I31</f>
        <v>0</v>
      </c>
      <c r="M31" s="6"/>
      <c r="N31" s="27"/>
    </row>
    <row r="32" spans="1:14" ht="182.25" x14ac:dyDescent="0.2">
      <c r="A32" s="32">
        <v>810</v>
      </c>
      <c r="B32" s="15" t="s">
        <v>308</v>
      </c>
      <c r="C32" s="3"/>
      <c r="D32" s="3"/>
      <c r="E32" s="3"/>
      <c r="F32" s="3"/>
      <c r="G32" s="3"/>
      <c r="H32" s="3"/>
      <c r="I32" s="14"/>
      <c r="J32" s="99"/>
      <c r="K32" s="177">
        <v>0</v>
      </c>
      <c r="L32" s="99">
        <f>J32*I32</f>
        <v>0</v>
      </c>
      <c r="M32" s="6"/>
      <c r="N32" s="27"/>
    </row>
    <row r="33" spans="1:14" ht="21" x14ac:dyDescent="0.2">
      <c r="A33" s="32">
        <v>810</v>
      </c>
      <c r="B33" s="33" t="s">
        <v>66</v>
      </c>
      <c r="C33" s="3" t="s">
        <v>60</v>
      </c>
      <c r="D33" s="3"/>
      <c r="E33" s="3"/>
      <c r="F33" s="3"/>
      <c r="G33" s="3"/>
      <c r="H33" s="3"/>
      <c r="I33" s="14">
        <f>SUM(I34:I35)</f>
        <v>0</v>
      </c>
      <c r="J33" s="99">
        <v>500</v>
      </c>
      <c r="K33" s="177">
        <v>730.25</v>
      </c>
      <c r="L33" s="99">
        <f>J33*I33</f>
        <v>0</v>
      </c>
      <c r="M33" s="6"/>
      <c r="N33" s="27"/>
    </row>
    <row r="34" spans="1:14" ht="21" x14ac:dyDescent="0.2">
      <c r="A34" s="32"/>
      <c r="B34" s="33"/>
      <c r="C34" s="3"/>
      <c r="D34" s="3"/>
      <c r="E34" s="3"/>
      <c r="F34" s="3"/>
      <c r="G34" s="3"/>
      <c r="H34" s="3"/>
      <c r="I34" s="14">
        <f>PRODUCT(E34:H34)</f>
        <v>0</v>
      </c>
      <c r="J34" s="99"/>
      <c r="K34" s="177"/>
      <c r="L34" s="99"/>
      <c r="M34" s="6"/>
      <c r="N34" s="27"/>
    </row>
    <row r="35" spans="1:14" ht="21" x14ac:dyDescent="0.2">
      <c r="A35" s="32"/>
      <c r="B35" s="33"/>
      <c r="C35" s="3"/>
      <c r="D35" s="3"/>
      <c r="E35" s="3"/>
      <c r="F35" s="3"/>
      <c r="G35" s="3"/>
      <c r="H35" s="3"/>
      <c r="I35" s="14"/>
      <c r="J35" s="99"/>
      <c r="K35" s="177"/>
      <c r="L35" s="99"/>
      <c r="M35" s="6"/>
      <c r="N35" s="27"/>
    </row>
    <row r="36" spans="1:14" ht="21" x14ac:dyDescent="0.2">
      <c r="A36" s="32">
        <v>982</v>
      </c>
      <c r="B36" s="33" t="s">
        <v>68</v>
      </c>
      <c r="C36" s="3" t="s">
        <v>60</v>
      </c>
      <c r="D36" s="3"/>
      <c r="E36" s="3"/>
      <c r="F36" s="3"/>
      <c r="G36" s="3"/>
      <c r="H36" s="3"/>
      <c r="I36" s="14"/>
      <c r="J36" s="99">
        <v>1500</v>
      </c>
      <c r="K36" s="177">
        <v>3024</v>
      </c>
      <c r="L36" s="99">
        <f>J36*I36</f>
        <v>0</v>
      </c>
      <c r="M36" s="6"/>
      <c r="N36" s="27"/>
    </row>
    <row r="37" spans="1:14" ht="21" x14ac:dyDescent="0.2">
      <c r="A37" s="5"/>
      <c r="B37" s="33" t="s">
        <v>69</v>
      </c>
      <c r="C37" s="3"/>
      <c r="D37" s="3"/>
      <c r="E37" s="3"/>
      <c r="F37" s="3"/>
      <c r="G37" s="3"/>
      <c r="H37" s="3"/>
      <c r="I37" s="14"/>
      <c r="J37" s="99"/>
      <c r="K37" s="177"/>
      <c r="L37" s="99">
        <f>J37*I37</f>
        <v>0</v>
      </c>
      <c r="M37" s="6"/>
      <c r="N37" s="27"/>
    </row>
    <row r="38" spans="1:14" ht="22.5" customHeight="1" x14ac:dyDescent="0.2">
      <c r="A38" s="5" t="s">
        <v>70</v>
      </c>
      <c r="B38" s="571" t="s">
        <v>71</v>
      </c>
      <c r="C38" s="14"/>
      <c r="D38" s="14"/>
      <c r="E38" s="14"/>
      <c r="F38" s="14"/>
      <c r="G38" s="14"/>
      <c r="H38" s="14"/>
      <c r="I38" s="14"/>
      <c r="J38" s="99"/>
      <c r="K38" s="177"/>
      <c r="L38" s="99">
        <f>J38*I38</f>
        <v>0</v>
      </c>
      <c r="M38" s="6"/>
      <c r="N38" s="27"/>
    </row>
    <row r="39" spans="1:14" ht="21" x14ac:dyDescent="0.2">
      <c r="A39" s="5"/>
      <c r="B39" s="571"/>
      <c r="C39" s="14"/>
      <c r="D39" s="14"/>
      <c r="E39" s="14"/>
      <c r="F39" s="14"/>
      <c r="G39" s="14"/>
      <c r="H39" s="14"/>
      <c r="I39" s="14"/>
      <c r="J39" s="99"/>
      <c r="K39" s="177">
        <v>0</v>
      </c>
      <c r="L39" s="99">
        <f>J39*I39</f>
        <v>0</v>
      </c>
      <c r="M39" s="6"/>
      <c r="N39" s="27"/>
    </row>
    <row r="40" spans="1:14" ht="21" x14ac:dyDescent="0.2">
      <c r="A40" s="5"/>
      <c r="B40" s="33" t="s">
        <v>72</v>
      </c>
      <c r="C40" s="3" t="s">
        <v>73</v>
      </c>
      <c r="D40" s="3"/>
      <c r="E40" s="3"/>
      <c r="F40" s="3"/>
      <c r="G40" s="3"/>
      <c r="H40" s="3" t="s">
        <v>309</v>
      </c>
      <c r="I40" s="14">
        <f>SUM(I41:I42)</f>
        <v>0</v>
      </c>
      <c r="J40" s="99">
        <v>53</v>
      </c>
      <c r="K40" s="177">
        <v>110.8813</v>
      </c>
      <c r="L40" s="99">
        <f>J40*I40</f>
        <v>0</v>
      </c>
      <c r="M40" s="6"/>
      <c r="N40" s="27"/>
    </row>
    <row r="41" spans="1:14" ht="21" x14ac:dyDescent="0.2">
      <c r="A41" s="5"/>
      <c r="B41" s="33"/>
      <c r="C41" s="3"/>
      <c r="D41" s="3"/>
      <c r="E41" s="3"/>
      <c r="F41" s="3"/>
      <c r="G41" s="3"/>
      <c r="H41" s="3"/>
      <c r="I41" s="14">
        <f>PRODUCT(E41:H41)</f>
        <v>0</v>
      </c>
      <c r="J41" s="99"/>
      <c r="K41" s="177"/>
      <c r="L41" s="99"/>
      <c r="M41" s="6"/>
      <c r="N41" s="27"/>
    </row>
    <row r="42" spans="1:14" ht="21" x14ac:dyDescent="0.2">
      <c r="A42" s="5"/>
      <c r="B42" s="33"/>
      <c r="C42" s="3"/>
      <c r="D42" s="3"/>
      <c r="E42" s="3"/>
      <c r="F42" s="3"/>
      <c r="G42" s="3"/>
      <c r="H42" s="3"/>
      <c r="I42" s="14">
        <f>PRODUCT(E42:H42)</f>
        <v>0</v>
      </c>
      <c r="J42" s="99"/>
      <c r="K42" s="177"/>
      <c r="L42" s="99"/>
      <c r="M42" s="6"/>
      <c r="N42" s="27"/>
    </row>
    <row r="43" spans="1:14" ht="63" x14ac:dyDescent="0.2">
      <c r="A43" s="5">
        <v>4.0999999999999996</v>
      </c>
      <c r="B43" s="33" t="s">
        <v>74</v>
      </c>
      <c r="C43" s="3"/>
      <c r="D43" s="3"/>
      <c r="E43" s="3"/>
      <c r="F43" s="3"/>
      <c r="G43" s="3"/>
      <c r="H43" s="3"/>
      <c r="I43" s="14"/>
      <c r="J43" s="99"/>
      <c r="K43" s="177"/>
      <c r="L43" s="99">
        <f>J43*I43</f>
        <v>0</v>
      </c>
      <c r="M43" s="6"/>
      <c r="N43" s="27"/>
    </row>
    <row r="44" spans="1:14" ht="84" x14ac:dyDescent="0.2">
      <c r="A44" s="5" t="s">
        <v>75</v>
      </c>
      <c r="B44" s="33" t="s">
        <v>76</v>
      </c>
      <c r="C44" s="3" t="s">
        <v>43</v>
      </c>
      <c r="D44" s="3"/>
      <c r="E44" s="3"/>
      <c r="F44" s="3"/>
      <c r="G44" s="3"/>
      <c r="H44" s="3" t="s">
        <v>309</v>
      </c>
      <c r="I44" s="14">
        <f>SUM(I45:I52)</f>
        <v>13.818320000000002</v>
      </c>
      <c r="J44" s="99">
        <v>6833.4</v>
      </c>
      <c r="K44" s="177">
        <v>4811.3969399999996</v>
      </c>
      <c r="L44" s="99">
        <f>J44*I44</f>
        <v>94426.107888000013</v>
      </c>
      <c r="M44" s="6"/>
      <c r="N44" s="27"/>
    </row>
    <row r="45" spans="1:14" ht="21" x14ac:dyDescent="0.2">
      <c r="A45" s="5"/>
      <c r="B45" s="33" t="s">
        <v>332</v>
      </c>
      <c r="C45" s="3"/>
      <c r="D45" s="3"/>
      <c r="E45" s="14">
        <f>E9</f>
        <v>1</v>
      </c>
      <c r="F45" s="14">
        <f>F9-0.6+0.2</f>
        <v>6.2</v>
      </c>
      <c r="G45" s="14">
        <f>G9-0.6+0.2</f>
        <v>6.2</v>
      </c>
      <c r="H45" s="14">
        <v>0.1</v>
      </c>
      <c r="I45" s="14">
        <f>PRODUCT(E45:H45)</f>
        <v>3.8440000000000007</v>
      </c>
      <c r="J45" s="99"/>
      <c r="K45" s="177"/>
      <c r="L45" s="99"/>
      <c r="M45" s="6"/>
      <c r="N45" s="27"/>
    </row>
    <row r="46" spans="1:14" ht="21" x14ac:dyDescent="0.2">
      <c r="A46" s="5"/>
      <c r="B46" s="14" t="str">
        <f>B10</f>
        <v xml:space="preserve">INTERNAL TRENCH FOR BOILER 1200 MM WIDE </v>
      </c>
      <c r="C46" s="3"/>
      <c r="D46" s="3"/>
      <c r="E46" s="14"/>
      <c r="F46" s="14">
        <f>F10</f>
        <v>8.15</v>
      </c>
      <c r="G46" s="14">
        <f>G10-0.6+0.2</f>
        <v>1.3999999999999997</v>
      </c>
      <c r="H46" s="14">
        <v>0.1</v>
      </c>
      <c r="I46" s="14">
        <f>PRODUCT(E46:H46)</f>
        <v>1.1409999999999998</v>
      </c>
      <c r="J46" s="99"/>
      <c r="K46" s="177"/>
      <c r="L46" s="99"/>
      <c r="M46" s="6"/>
      <c r="N46" s="27"/>
    </row>
    <row r="47" spans="1:14" ht="21" x14ac:dyDescent="0.2">
      <c r="A47" s="5"/>
      <c r="B47" s="14" t="str">
        <f>B11</f>
        <v xml:space="preserve">INTERNAL TRENCH FOR BOILER 900 MM WIDE </v>
      </c>
      <c r="C47" s="3"/>
      <c r="D47" s="3"/>
      <c r="E47" s="14"/>
      <c r="F47" s="14">
        <f>F11</f>
        <v>29.625</v>
      </c>
      <c r="G47" s="14">
        <f>G11-0.6+0.2</f>
        <v>1.1000000000000001</v>
      </c>
      <c r="H47" s="14">
        <v>0.1</v>
      </c>
      <c r="I47" s="14">
        <f>PRODUCT(E47:H47)</f>
        <v>3.2587500000000009</v>
      </c>
      <c r="J47" s="99"/>
      <c r="K47" s="177"/>
      <c r="L47" s="99"/>
      <c r="M47" s="6"/>
      <c r="N47" s="27"/>
    </row>
    <row r="48" spans="1:14" ht="21" x14ac:dyDescent="0.2">
      <c r="A48" s="5"/>
      <c r="B48" s="14" t="str">
        <f>B12</f>
        <v xml:space="preserve">INTERNAL TRENCH FOR BOILER 700 MM WIDE </v>
      </c>
      <c r="C48" s="3"/>
      <c r="D48" s="3"/>
      <c r="E48" s="14"/>
      <c r="F48" s="14">
        <f>F12</f>
        <v>41.472999999999999</v>
      </c>
      <c r="G48" s="14">
        <f>G12-0.6+0.2</f>
        <v>0.89999999999999991</v>
      </c>
      <c r="H48" s="14">
        <v>0.1</v>
      </c>
      <c r="I48" s="14">
        <f>PRODUCT(E48:H48)</f>
        <v>3.7325699999999999</v>
      </c>
      <c r="J48" s="99"/>
      <c r="K48" s="177"/>
      <c r="L48" s="99"/>
      <c r="M48" s="6"/>
      <c r="N48" s="27"/>
    </row>
    <row r="49" spans="1:14" ht="21" x14ac:dyDescent="0.2">
      <c r="A49" s="5"/>
      <c r="B49" s="14" t="str">
        <f>B13</f>
        <v xml:space="preserve">INTERNAL TRENCH FOR BOILER 400 MM WIDE </v>
      </c>
      <c r="C49" s="3"/>
      <c r="D49" s="3"/>
      <c r="E49" s="14"/>
      <c r="F49" s="14">
        <f>F13</f>
        <v>30.7</v>
      </c>
      <c r="G49" s="14">
        <f>G13-0.6+0.2</f>
        <v>0.60000000000000009</v>
      </c>
      <c r="H49" s="14">
        <v>0.1</v>
      </c>
      <c r="I49" s="14">
        <f>PRODUCT(E49:H49)</f>
        <v>1.8420000000000003</v>
      </c>
      <c r="J49" s="99"/>
      <c r="K49" s="177"/>
      <c r="L49" s="99"/>
      <c r="M49" s="6"/>
      <c r="N49" s="27"/>
    </row>
    <row r="50" spans="1:14" ht="21" x14ac:dyDescent="0.2">
      <c r="A50" s="5"/>
      <c r="B50" s="33"/>
      <c r="C50" s="3"/>
      <c r="D50" s="3"/>
      <c r="E50" s="14"/>
      <c r="F50" s="14"/>
      <c r="G50" s="14"/>
      <c r="H50" s="14"/>
      <c r="I50" s="14"/>
      <c r="J50" s="99"/>
      <c r="K50" s="177"/>
      <c r="L50" s="99"/>
      <c r="M50" s="6"/>
      <c r="N50" s="27"/>
    </row>
    <row r="51" spans="1:14" ht="21" x14ac:dyDescent="0.2">
      <c r="A51" s="5"/>
      <c r="B51" s="33"/>
      <c r="C51" s="3"/>
      <c r="D51" s="3"/>
      <c r="E51" s="14"/>
      <c r="F51" s="14"/>
      <c r="G51" s="14"/>
      <c r="H51" s="14"/>
      <c r="I51" s="14"/>
      <c r="J51" s="99"/>
      <c r="K51" s="177"/>
      <c r="L51" s="99"/>
      <c r="M51" s="6"/>
      <c r="N51" s="27"/>
    </row>
    <row r="52" spans="1:14" ht="21" x14ac:dyDescent="0.2">
      <c r="A52" s="5"/>
      <c r="B52" s="33"/>
      <c r="C52" s="3"/>
      <c r="D52" s="3"/>
      <c r="E52" s="14"/>
      <c r="F52" s="14"/>
      <c r="G52" s="14"/>
      <c r="H52" s="14"/>
      <c r="I52" s="14"/>
      <c r="J52" s="99"/>
      <c r="K52" s="177"/>
      <c r="L52" s="99"/>
      <c r="M52" s="6"/>
      <c r="N52" s="27"/>
    </row>
    <row r="53" spans="1:14" ht="189" x14ac:dyDescent="0.2">
      <c r="A53" s="5">
        <v>16.79</v>
      </c>
      <c r="B53" s="33" t="s">
        <v>77</v>
      </c>
      <c r="C53" s="3" t="s">
        <v>43</v>
      </c>
      <c r="D53" s="3"/>
      <c r="E53" s="3"/>
      <c r="F53" s="3"/>
      <c r="G53" s="3"/>
      <c r="H53" s="3" t="s">
        <v>309</v>
      </c>
      <c r="I53" s="14">
        <f>SUM(I54:I55)</f>
        <v>0</v>
      </c>
      <c r="J53" s="99">
        <v>2803.65</v>
      </c>
      <c r="K53" s="177">
        <v>1985.8252950000001</v>
      </c>
      <c r="L53" s="99">
        <f>J53*I53</f>
        <v>0</v>
      </c>
      <c r="M53" s="6"/>
      <c r="N53" s="27"/>
    </row>
    <row r="54" spans="1:14" ht="21" x14ac:dyDescent="0.2">
      <c r="A54" s="5"/>
      <c r="B54" s="33"/>
      <c r="C54" s="3"/>
      <c r="D54" s="3"/>
      <c r="E54" s="3"/>
      <c r="F54" s="3"/>
      <c r="G54" s="3"/>
      <c r="H54" s="3"/>
      <c r="I54" s="14">
        <f>PRODUCT(E54:H54)</f>
        <v>0</v>
      </c>
      <c r="J54" s="99"/>
      <c r="K54" s="177"/>
      <c r="L54" s="99"/>
      <c r="M54" s="6"/>
      <c r="N54" s="27"/>
    </row>
    <row r="55" spans="1:14" ht="21" x14ac:dyDescent="0.2">
      <c r="A55" s="5"/>
      <c r="B55" s="33"/>
      <c r="C55" s="3"/>
      <c r="D55" s="3"/>
      <c r="E55" s="3"/>
      <c r="F55" s="3"/>
      <c r="G55" s="3"/>
      <c r="H55" s="3"/>
      <c r="I55" s="14"/>
      <c r="J55" s="99"/>
      <c r="K55" s="177"/>
      <c r="L55" s="99"/>
      <c r="M55" s="6"/>
      <c r="N55" s="27"/>
    </row>
    <row r="56" spans="1:14" ht="42" x14ac:dyDescent="0.2">
      <c r="A56" s="5" t="s">
        <v>78</v>
      </c>
      <c r="B56" s="33" t="s">
        <v>79</v>
      </c>
      <c r="C56" s="3" t="s">
        <v>73</v>
      </c>
      <c r="D56" s="3"/>
      <c r="E56" s="3"/>
      <c r="F56" s="3"/>
      <c r="G56" s="3"/>
      <c r="H56" s="3"/>
      <c r="I56" s="14"/>
      <c r="J56" s="99">
        <v>120</v>
      </c>
      <c r="K56" s="177">
        <v>151.19999999999999</v>
      </c>
      <c r="L56" s="99">
        <f>J56*I56</f>
        <v>0</v>
      </c>
      <c r="M56" s="6"/>
      <c r="N56" s="27"/>
    </row>
    <row r="57" spans="1:14" ht="42" x14ac:dyDescent="0.2">
      <c r="A57" s="5">
        <v>5.9</v>
      </c>
      <c r="B57" s="33" t="s">
        <v>80</v>
      </c>
      <c r="C57" s="3"/>
      <c r="D57" s="3"/>
      <c r="E57" s="3"/>
      <c r="F57" s="3"/>
      <c r="G57" s="3"/>
      <c r="H57" s="3"/>
      <c r="I57" s="14"/>
      <c r="J57" s="99"/>
      <c r="K57" s="177"/>
      <c r="L57" s="99">
        <f>J57*I57</f>
        <v>0</v>
      </c>
      <c r="M57" s="6"/>
      <c r="N57" s="27"/>
    </row>
    <row r="58" spans="1:14" ht="84" x14ac:dyDescent="0.2">
      <c r="A58" s="5" t="s">
        <v>81</v>
      </c>
      <c r="B58" s="33" t="s">
        <v>310</v>
      </c>
      <c r="C58" s="3" t="s">
        <v>73</v>
      </c>
      <c r="D58" s="3"/>
      <c r="E58" s="3"/>
      <c r="F58" s="3"/>
      <c r="G58" s="3"/>
      <c r="H58" s="3" t="s">
        <v>309</v>
      </c>
      <c r="I58" s="14">
        <f>SUM(I59:I78)</f>
        <v>195.06020000000001</v>
      </c>
      <c r="J58" s="99">
        <v>307.95</v>
      </c>
      <c r="K58" s="177">
        <v>684.32649000000004</v>
      </c>
      <c r="L58" s="99">
        <f>J58*I58</f>
        <v>60068.788590000004</v>
      </c>
      <c r="M58" s="6"/>
      <c r="N58" s="27"/>
    </row>
    <row r="59" spans="1:14" ht="21" x14ac:dyDescent="0.2">
      <c r="A59" s="5"/>
      <c r="B59" s="3" t="s">
        <v>365</v>
      </c>
      <c r="C59" s="3"/>
      <c r="D59" s="3"/>
      <c r="E59" s="99">
        <f>E96</f>
        <v>1</v>
      </c>
      <c r="F59" s="3">
        <f>F96+G96</f>
        <v>12</v>
      </c>
      <c r="G59" s="3">
        <v>2</v>
      </c>
      <c r="H59" s="3">
        <f>H96</f>
        <v>1.2</v>
      </c>
      <c r="I59" s="14">
        <f>PRODUCT(E59:H59)</f>
        <v>28.799999999999997</v>
      </c>
      <c r="J59" s="99"/>
      <c r="K59" s="177"/>
      <c r="L59" s="99"/>
      <c r="M59" s="6"/>
      <c r="N59" s="27"/>
    </row>
    <row r="60" spans="1:14" ht="21" x14ac:dyDescent="0.2">
      <c r="A60" s="5"/>
      <c r="B60" s="3"/>
      <c r="C60" s="3"/>
      <c r="D60" s="3"/>
      <c r="E60" s="99">
        <f>E98</f>
        <v>1</v>
      </c>
      <c r="F60" s="3">
        <f>F98+G98</f>
        <v>5</v>
      </c>
      <c r="G60" s="3">
        <v>2</v>
      </c>
      <c r="H60" s="3">
        <f>H98</f>
        <v>2.5</v>
      </c>
      <c r="I60" s="14">
        <f>PRODUCT(E60:H60)</f>
        <v>25</v>
      </c>
      <c r="J60" s="99"/>
      <c r="K60" s="177"/>
      <c r="L60" s="99"/>
      <c r="M60" s="6"/>
      <c r="N60" s="27"/>
    </row>
    <row r="61" spans="1:14" ht="21" x14ac:dyDescent="0.2">
      <c r="A61" s="5"/>
      <c r="B61" s="3"/>
      <c r="C61" s="3"/>
      <c r="D61" s="3"/>
      <c r="E61" s="99"/>
      <c r="F61" s="3"/>
      <c r="G61" s="3"/>
      <c r="H61" s="3"/>
      <c r="I61" s="14"/>
      <c r="J61" s="99"/>
      <c r="K61" s="177"/>
      <c r="L61" s="99"/>
      <c r="M61" s="6"/>
      <c r="N61" s="27"/>
    </row>
    <row r="62" spans="1:14" ht="21" x14ac:dyDescent="0.2">
      <c r="A62" s="5"/>
      <c r="B62" s="3" t="s">
        <v>370</v>
      </c>
      <c r="C62" s="3"/>
      <c r="D62" s="3"/>
      <c r="E62" s="99">
        <v>3</v>
      </c>
      <c r="F62" s="3">
        <f t="shared" ref="F62:F75" si="1">F100+G100</f>
        <v>10.23</v>
      </c>
      <c r="G62" s="3">
        <v>2</v>
      </c>
      <c r="H62" s="3">
        <f t="shared" ref="H62:H75" si="2">H100</f>
        <v>0.2</v>
      </c>
      <c r="I62" s="14">
        <f>PRODUCT(E62:H62)</f>
        <v>12.276000000000002</v>
      </c>
      <c r="J62" s="99"/>
      <c r="K62" s="177"/>
      <c r="L62" s="99"/>
      <c r="M62" s="6"/>
      <c r="N62" s="27"/>
    </row>
    <row r="63" spans="1:14" ht="21" x14ac:dyDescent="0.2">
      <c r="A63" s="5"/>
      <c r="B63" s="3" t="s">
        <v>371</v>
      </c>
      <c r="C63" s="3"/>
      <c r="D63" s="3"/>
      <c r="E63" s="99">
        <v>3</v>
      </c>
      <c r="F63" s="3">
        <f t="shared" si="1"/>
        <v>3.9</v>
      </c>
      <c r="G63" s="3">
        <v>2</v>
      </c>
      <c r="H63" s="3">
        <f t="shared" si="2"/>
        <v>0.15</v>
      </c>
      <c r="I63" s="14">
        <f>PRODUCT(E63:H63)</f>
        <v>3.51</v>
      </c>
      <c r="J63" s="99"/>
      <c r="K63" s="177"/>
      <c r="L63" s="99"/>
      <c r="M63" s="6"/>
      <c r="N63" s="27"/>
    </row>
    <row r="64" spans="1:14" ht="21" x14ac:dyDescent="0.2">
      <c r="A64" s="5"/>
      <c r="B64" s="3" t="s">
        <v>372</v>
      </c>
      <c r="C64" s="3"/>
      <c r="D64" s="3"/>
      <c r="E64" s="99">
        <v>1</v>
      </c>
      <c r="F64" s="3">
        <f t="shared" si="1"/>
        <v>3.5</v>
      </c>
      <c r="G64" s="3">
        <v>2</v>
      </c>
      <c r="H64" s="3">
        <f t="shared" si="2"/>
        <v>0.15</v>
      </c>
      <c r="I64" s="14">
        <f>PRODUCT(E64:H64)</f>
        <v>1.05</v>
      </c>
      <c r="J64" s="99"/>
      <c r="K64" s="177"/>
      <c r="L64" s="99"/>
      <c r="M64" s="6"/>
      <c r="N64" s="27"/>
    </row>
    <row r="65" spans="1:14" ht="21" x14ac:dyDescent="0.2">
      <c r="A65" s="5"/>
      <c r="B65" s="3" t="s">
        <v>373</v>
      </c>
      <c r="C65" s="3"/>
      <c r="D65" s="3"/>
      <c r="E65" s="99">
        <v>3</v>
      </c>
      <c r="F65" s="3">
        <f t="shared" si="1"/>
        <v>2.4460000000000002</v>
      </c>
      <c r="G65" s="3">
        <v>2</v>
      </c>
      <c r="H65" s="3">
        <f t="shared" si="2"/>
        <v>0.15</v>
      </c>
      <c r="I65" s="14">
        <f>PRODUCT(E65:H65)</f>
        <v>2.2014</v>
      </c>
      <c r="J65" s="99"/>
      <c r="K65" s="177"/>
      <c r="L65" s="99"/>
      <c r="M65" s="6"/>
      <c r="N65" s="27"/>
    </row>
    <row r="66" spans="1:14" ht="21" x14ac:dyDescent="0.2">
      <c r="A66" s="5"/>
      <c r="B66" s="3"/>
      <c r="C66" s="3"/>
      <c r="D66" s="3"/>
      <c r="E66" s="99"/>
      <c r="F66" s="3">
        <f t="shared" si="1"/>
        <v>0</v>
      </c>
      <c r="G66" s="3"/>
      <c r="H66" s="3">
        <f t="shared" si="2"/>
        <v>0</v>
      </c>
      <c r="I66" s="14"/>
      <c r="J66" s="99"/>
      <c r="K66" s="177"/>
      <c r="L66" s="99"/>
      <c r="M66" s="6"/>
      <c r="N66" s="27"/>
    </row>
    <row r="67" spans="1:14" ht="21" x14ac:dyDescent="0.2">
      <c r="A67" s="5"/>
      <c r="B67" s="99" t="str">
        <f>B46</f>
        <v xml:space="preserve">INTERNAL TRENCH FOR BOILER 1200 MM WIDE </v>
      </c>
      <c r="C67" s="3"/>
      <c r="D67" s="3"/>
      <c r="E67" s="99"/>
      <c r="F67" s="3">
        <f t="shared" si="1"/>
        <v>9.35</v>
      </c>
      <c r="G67" s="14">
        <v>2</v>
      </c>
      <c r="H67" s="3">
        <f t="shared" si="2"/>
        <v>0.15</v>
      </c>
      <c r="I67" s="14">
        <f>PRODUCT(E67:H67)</f>
        <v>2.8049999999999997</v>
      </c>
      <c r="J67" s="99"/>
      <c r="K67" s="177"/>
      <c r="L67" s="99"/>
      <c r="M67" s="6"/>
      <c r="N67" s="27"/>
    </row>
    <row r="68" spans="1:14" ht="21" x14ac:dyDescent="0.2">
      <c r="A68" s="5"/>
      <c r="B68" s="99" t="str">
        <f>B47</f>
        <v xml:space="preserve">INTERNAL TRENCH FOR BOILER 900 MM WIDE </v>
      </c>
      <c r="C68" s="3"/>
      <c r="D68" s="3"/>
      <c r="E68" s="99"/>
      <c r="F68" s="3">
        <f t="shared" si="1"/>
        <v>30.524999999999999</v>
      </c>
      <c r="G68" s="14">
        <v>2</v>
      </c>
      <c r="H68" s="3">
        <f t="shared" si="2"/>
        <v>0.15</v>
      </c>
      <c r="I68" s="14">
        <f>PRODUCT(E68:H68)</f>
        <v>9.1574999999999989</v>
      </c>
      <c r="J68" s="99"/>
      <c r="K68" s="177"/>
      <c r="L68" s="99"/>
      <c r="M68" s="6"/>
      <c r="N68" s="27"/>
    </row>
    <row r="69" spans="1:14" ht="21" x14ac:dyDescent="0.2">
      <c r="A69" s="5"/>
      <c r="B69" s="99" t="str">
        <f>B48</f>
        <v xml:space="preserve">INTERNAL TRENCH FOR BOILER 700 MM WIDE </v>
      </c>
      <c r="C69" s="3"/>
      <c r="D69" s="3"/>
      <c r="E69" s="99"/>
      <c r="F69" s="3">
        <f t="shared" si="1"/>
        <v>42.173000000000002</v>
      </c>
      <c r="G69" s="14">
        <v>2</v>
      </c>
      <c r="H69" s="3">
        <f t="shared" si="2"/>
        <v>0.15</v>
      </c>
      <c r="I69" s="14">
        <f>PRODUCT(E69:H69)</f>
        <v>12.651899999999999</v>
      </c>
      <c r="J69" s="99"/>
      <c r="K69" s="177"/>
      <c r="L69" s="99"/>
      <c r="M69" s="6"/>
      <c r="N69" s="27"/>
    </row>
    <row r="70" spans="1:14" ht="21" x14ac:dyDescent="0.2">
      <c r="A70" s="5"/>
      <c r="B70" s="99" t="str">
        <f>B49</f>
        <v xml:space="preserve">INTERNAL TRENCH FOR BOILER 400 MM WIDE </v>
      </c>
      <c r="C70" s="3"/>
      <c r="D70" s="3"/>
      <c r="E70" s="99"/>
      <c r="F70" s="3">
        <f t="shared" si="1"/>
        <v>31.099999999999998</v>
      </c>
      <c r="G70" s="14">
        <v>2</v>
      </c>
      <c r="H70" s="3">
        <f t="shared" si="2"/>
        <v>0.15</v>
      </c>
      <c r="I70" s="14">
        <f>PRODUCT(E70:H70)</f>
        <v>9.3299999999999983</v>
      </c>
      <c r="J70" s="99"/>
      <c r="K70" s="177"/>
      <c r="L70" s="99"/>
      <c r="M70" s="6"/>
      <c r="N70" s="27"/>
    </row>
    <row r="71" spans="1:14" ht="21" x14ac:dyDescent="0.2">
      <c r="A71" s="5"/>
      <c r="B71" s="99" t="s">
        <v>374</v>
      </c>
      <c r="C71" s="3"/>
      <c r="D71" s="3"/>
      <c r="E71" s="99"/>
      <c r="F71" s="3">
        <f t="shared" si="1"/>
        <v>0</v>
      </c>
      <c r="G71" s="14"/>
      <c r="H71" s="3">
        <f t="shared" si="2"/>
        <v>0</v>
      </c>
      <c r="I71" s="14"/>
      <c r="J71" s="99"/>
      <c r="K71" s="177"/>
      <c r="L71" s="99"/>
      <c r="M71" s="6"/>
      <c r="N71" s="27"/>
    </row>
    <row r="72" spans="1:14" ht="21" x14ac:dyDescent="0.2">
      <c r="A72" s="5"/>
      <c r="B72" s="99" t="str">
        <f>B67</f>
        <v xml:space="preserve">INTERNAL TRENCH FOR BOILER 1200 MM WIDE </v>
      </c>
      <c r="C72" s="3"/>
      <c r="D72" s="3"/>
      <c r="E72" s="99"/>
      <c r="F72" s="3">
        <f t="shared" si="1"/>
        <v>8.25</v>
      </c>
      <c r="G72" s="14">
        <v>2</v>
      </c>
      <c r="H72" s="3">
        <f t="shared" si="2"/>
        <v>0.4</v>
      </c>
      <c r="I72" s="14">
        <f>PRODUCT(E72:H72)</f>
        <v>6.6000000000000005</v>
      </c>
      <c r="J72" s="99"/>
      <c r="K72" s="177"/>
      <c r="L72" s="99"/>
      <c r="M72" s="6"/>
      <c r="N72" s="27"/>
    </row>
    <row r="73" spans="1:14" ht="21" x14ac:dyDescent="0.2">
      <c r="A73" s="5"/>
      <c r="B73" s="99" t="str">
        <f>B68</f>
        <v xml:space="preserve">INTERNAL TRENCH FOR BOILER 900 MM WIDE </v>
      </c>
      <c r="C73" s="3"/>
      <c r="D73" s="3"/>
      <c r="E73" s="99"/>
      <c r="F73" s="3">
        <f t="shared" si="1"/>
        <v>29.725000000000001</v>
      </c>
      <c r="G73" s="14">
        <v>2</v>
      </c>
      <c r="H73" s="3">
        <f t="shared" si="2"/>
        <v>0.4</v>
      </c>
      <c r="I73" s="14">
        <f>PRODUCT(E73:H73)</f>
        <v>23.78</v>
      </c>
      <c r="J73" s="99"/>
      <c r="K73" s="177"/>
      <c r="L73" s="99"/>
      <c r="M73" s="6"/>
      <c r="N73" s="27"/>
    </row>
    <row r="74" spans="1:14" ht="21" x14ac:dyDescent="0.2">
      <c r="A74" s="5"/>
      <c r="B74" s="99" t="str">
        <f>B69</f>
        <v xml:space="preserve">INTERNAL TRENCH FOR BOILER 700 MM WIDE </v>
      </c>
      <c r="C74" s="3"/>
      <c r="D74" s="3"/>
      <c r="E74" s="99"/>
      <c r="F74" s="3">
        <f t="shared" si="1"/>
        <v>41.573</v>
      </c>
      <c r="G74" s="14">
        <v>2</v>
      </c>
      <c r="H74" s="3">
        <f t="shared" si="2"/>
        <v>0.4</v>
      </c>
      <c r="I74" s="14">
        <f>PRODUCT(E74:H74)</f>
        <v>33.258400000000002</v>
      </c>
      <c r="J74" s="99"/>
      <c r="K74" s="177"/>
      <c r="L74" s="99"/>
      <c r="M74" s="6"/>
      <c r="N74" s="27"/>
    </row>
    <row r="75" spans="1:14" ht="21" x14ac:dyDescent="0.2">
      <c r="A75" s="5"/>
      <c r="B75" s="99" t="str">
        <f>B70</f>
        <v xml:space="preserve">INTERNAL TRENCH FOR BOILER 400 MM WIDE </v>
      </c>
      <c r="C75" s="3"/>
      <c r="D75" s="3"/>
      <c r="E75" s="99"/>
      <c r="F75" s="3">
        <f t="shared" si="1"/>
        <v>30.8</v>
      </c>
      <c r="G75" s="14">
        <v>2</v>
      </c>
      <c r="H75" s="3">
        <f t="shared" si="2"/>
        <v>0.4</v>
      </c>
      <c r="I75" s="14">
        <f>PRODUCT(E75:H75)</f>
        <v>24.64</v>
      </c>
      <c r="J75" s="99"/>
      <c r="K75" s="177"/>
      <c r="L75" s="99"/>
      <c r="M75" s="6"/>
      <c r="N75" s="27"/>
    </row>
    <row r="76" spans="1:14" ht="21" x14ac:dyDescent="0.2">
      <c r="A76" s="5"/>
      <c r="B76" s="99"/>
      <c r="C76" s="3"/>
      <c r="D76" s="3"/>
      <c r="E76" s="99"/>
      <c r="F76" s="99"/>
      <c r="G76" s="14"/>
      <c r="H76" s="3"/>
      <c r="I76" s="14"/>
      <c r="J76" s="99"/>
      <c r="K76" s="177"/>
      <c r="L76" s="99"/>
      <c r="M76" s="6"/>
      <c r="N76" s="27"/>
    </row>
    <row r="77" spans="1:14" ht="21" x14ac:dyDescent="0.2">
      <c r="A77" s="5"/>
      <c r="B77" s="99"/>
      <c r="C77" s="3"/>
      <c r="D77" s="3"/>
      <c r="E77" s="99"/>
      <c r="F77" s="99"/>
      <c r="G77" s="14"/>
      <c r="H77" s="3"/>
      <c r="I77" s="14"/>
      <c r="J77" s="99"/>
      <c r="K77" s="177"/>
      <c r="L77" s="99"/>
      <c r="M77" s="6"/>
      <c r="N77" s="27"/>
    </row>
    <row r="78" spans="1:14" ht="21" x14ac:dyDescent="0.2">
      <c r="A78" s="5"/>
      <c r="B78" s="33"/>
      <c r="C78" s="3"/>
      <c r="D78" s="3"/>
      <c r="E78" s="99"/>
      <c r="F78" s="3"/>
      <c r="G78" s="3"/>
      <c r="H78" s="3"/>
      <c r="I78" s="14"/>
      <c r="J78" s="99"/>
      <c r="K78" s="177"/>
      <c r="L78" s="99"/>
      <c r="M78" s="6"/>
      <c r="N78" s="27"/>
    </row>
    <row r="79" spans="1:14" ht="147" x14ac:dyDescent="0.2">
      <c r="A79" s="5" t="s">
        <v>83</v>
      </c>
      <c r="B79" s="33" t="s">
        <v>84</v>
      </c>
      <c r="C79" s="3" t="s">
        <v>73</v>
      </c>
      <c r="D79" s="3"/>
      <c r="E79" s="3"/>
      <c r="F79" s="3"/>
      <c r="G79" s="3"/>
      <c r="H79" s="3" t="s">
        <v>309</v>
      </c>
      <c r="I79" s="14">
        <f>SUM(I80:I81)</f>
        <v>0</v>
      </c>
      <c r="J79" s="99">
        <v>669.55</v>
      </c>
      <c r="K79" s="177">
        <v>806.40602000000001</v>
      </c>
      <c r="L79" s="99">
        <f>J79*I79</f>
        <v>0</v>
      </c>
      <c r="M79" s="6"/>
      <c r="N79" s="27"/>
    </row>
    <row r="80" spans="1:14" ht="21" x14ac:dyDescent="0.2">
      <c r="A80" s="5"/>
      <c r="B80" s="3"/>
      <c r="C80" s="3"/>
      <c r="D80" s="3"/>
      <c r="E80" s="3"/>
      <c r="F80" s="3"/>
      <c r="G80" s="3"/>
      <c r="H80" s="3"/>
      <c r="I80" s="14"/>
      <c r="J80" s="99"/>
      <c r="K80" s="177"/>
      <c r="L80" s="99"/>
      <c r="M80" s="6"/>
      <c r="N80" s="27"/>
    </row>
    <row r="81" spans="1:14" ht="21" x14ac:dyDescent="0.2">
      <c r="A81" s="5"/>
      <c r="B81" s="3"/>
      <c r="C81" s="3"/>
      <c r="D81" s="3"/>
      <c r="E81" s="3"/>
      <c r="F81" s="3"/>
      <c r="G81" s="3"/>
      <c r="H81" s="3"/>
      <c r="I81" s="14"/>
      <c r="J81" s="99"/>
      <c r="K81" s="177"/>
      <c r="L81" s="99"/>
      <c r="M81" s="6"/>
      <c r="N81" s="27"/>
    </row>
    <row r="82" spans="1:14" ht="21" x14ac:dyDescent="0.2">
      <c r="A82" s="5"/>
      <c r="B82" s="33"/>
      <c r="C82" s="3"/>
      <c r="D82" s="3"/>
      <c r="E82" s="3"/>
      <c r="F82" s="3"/>
      <c r="G82" s="3"/>
      <c r="H82" s="3"/>
      <c r="I82" s="14"/>
      <c r="J82" s="99"/>
      <c r="K82" s="177"/>
      <c r="L82" s="99"/>
      <c r="M82" s="6"/>
      <c r="N82" s="27"/>
    </row>
    <row r="83" spans="1:14" ht="168" x14ac:dyDescent="0.2">
      <c r="A83" s="5" t="s">
        <v>85</v>
      </c>
      <c r="B83" s="33" t="s">
        <v>340</v>
      </c>
      <c r="C83" s="3" t="s">
        <v>73</v>
      </c>
      <c r="D83" s="3"/>
      <c r="E83" s="3"/>
      <c r="F83" s="3"/>
      <c r="G83" s="3"/>
      <c r="H83" s="3"/>
      <c r="I83" s="14"/>
      <c r="J83" s="99">
        <v>766.55</v>
      </c>
      <c r="K83" s="177">
        <v>806.41060000000004</v>
      </c>
      <c r="L83" s="99">
        <f>J83*I83</f>
        <v>0</v>
      </c>
      <c r="M83" s="6"/>
      <c r="N83" s="27"/>
    </row>
    <row r="84" spans="1:14" ht="21" x14ac:dyDescent="0.2">
      <c r="A84" s="5"/>
      <c r="B84" s="33"/>
      <c r="C84" s="3"/>
      <c r="D84" s="3"/>
      <c r="E84" s="3"/>
      <c r="F84" s="3"/>
      <c r="G84" s="3"/>
      <c r="H84" s="3"/>
      <c r="I84" s="14"/>
      <c r="J84" s="99"/>
      <c r="K84" s="177"/>
      <c r="L84" s="99"/>
      <c r="M84" s="6"/>
      <c r="N84" s="27"/>
    </row>
    <row r="85" spans="1:14" ht="126" x14ac:dyDescent="0.2">
      <c r="A85" s="5" t="s">
        <v>87</v>
      </c>
      <c r="B85" s="33" t="s">
        <v>88</v>
      </c>
      <c r="C85" s="3" t="s">
        <v>73</v>
      </c>
      <c r="D85" s="3"/>
      <c r="E85" s="3"/>
      <c r="F85" s="3"/>
      <c r="G85" s="3"/>
      <c r="H85" s="3" t="s">
        <v>309</v>
      </c>
      <c r="I85" s="14">
        <f>SUM(I86:I87)</f>
        <v>0</v>
      </c>
      <c r="J85" s="99">
        <v>608.35</v>
      </c>
      <c r="K85" s="177">
        <v>1007.975115</v>
      </c>
      <c r="L85" s="99">
        <f>J85*I85</f>
        <v>0</v>
      </c>
      <c r="M85" s="6"/>
      <c r="N85" s="27"/>
    </row>
    <row r="86" spans="1:14" ht="21" x14ac:dyDescent="0.2">
      <c r="A86" s="5"/>
      <c r="B86" s="3"/>
      <c r="C86" s="3"/>
      <c r="D86" s="3"/>
      <c r="E86" s="3"/>
      <c r="F86" s="3"/>
      <c r="G86" s="3"/>
      <c r="H86" s="3"/>
      <c r="I86" s="14"/>
      <c r="J86" s="99"/>
      <c r="K86" s="177"/>
      <c r="L86" s="99"/>
      <c r="M86" s="6"/>
      <c r="N86" s="27"/>
    </row>
    <row r="87" spans="1:14" ht="21" x14ac:dyDescent="0.2">
      <c r="A87" s="5"/>
      <c r="B87" s="3"/>
      <c r="C87" s="3"/>
      <c r="D87" s="3"/>
      <c r="E87" s="3"/>
      <c r="F87" s="3"/>
      <c r="G87" s="3"/>
      <c r="H87" s="3"/>
      <c r="I87" s="14"/>
      <c r="J87" s="99"/>
      <c r="K87" s="177"/>
      <c r="L87" s="99"/>
      <c r="M87" s="6"/>
      <c r="N87" s="27"/>
    </row>
    <row r="88" spans="1:14" ht="126" x14ac:dyDescent="0.2">
      <c r="A88" s="5" t="s">
        <v>89</v>
      </c>
      <c r="B88" s="33" t="s">
        <v>90</v>
      </c>
      <c r="C88" s="3" t="s">
        <v>73</v>
      </c>
      <c r="D88" s="3"/>
      <c r="E88" s="3"/>
      <c r="F88" s="3"/>
      <c r="G88" s="3"/>
      <c r="H88" s="3" t="s">
        <v>309</v>
      </c>
      <c r="I88" s="14">
        <f>SUM(I89)</f>
        <v>0</v>
      </c>
      <c r="J88" s="99">
        <v>804.25</v>
      </c>
      <c r="K88" s="177">
        <v>907.19399999999996</v>
      </c>
      <c r="L88" s="99">
        <f>J88*I88</f>
        <v>0</v>
      </c>
      <c r="M88" s="6"/>
      <c r="N88" s="27"/>
    </row>
    <row r="89" spans="1:14" ht="21" x14ac:dyDescent="0.2">
      <c r="A89" s="5"/>
      <c r="B89" s="33"/>
      <c r="C89" s="3"/>
      <c r="D89" s="3"/>
      <c r="E89" s="99"/>
      <c r="F89" s="3"/>
      <c r="G89" s="3"/>
      <c r="H89" s="3"/>
      <c r="I89" s="14">
        <f>PRODUCT(E89:H89)</f>
        <v>0</v>
      </c>
      <c r="J89" s="99"/>
      <c r="K89" s="177"/>
      <c r="L89" s="99"/>
      <c r="M89" s="6"/>
      <c r="N89" s="27"/>
    </row>
    <row r="90" spans="1:14" ht="21" x14ac:dyDescent="0.2">
      <c r="A90" s="5"/>
      <c r="B90" s="33"/>
      <c r="C90" s="3"/>
      <c r="D90" s="3"/>
      <c r="E90" s="3"/>
      <c r="F90" s="3"/>
      <c r="G90" s="3"/>
      <c r="H90" s="3"/>
      <c r="I90" s="14"/>
      <c r="J90" s="99"/>
      <c r="K90" s="177"/>
      <c r="L90" s="99"/>
      <c r="M90" s="6"/>
      <c r="N90" s="27"/>
    </row>
    <row r="91" spans="1:14" ht="147" x14ac:dyDescent="0.2">
      <c r="A91" s="5" t="s">
        <v>91</v>
      </c>
      <c r="B91" s="33" t="s">
        <v>341</v>
      </c>
      <c r="C91" s="3" t="s">
        <v>73</v>
      </c>
      <c r="D91" s="3"/>
      <c r="E91" s="3"/>
      <c r="F91" s="3"/>
      <c r="G91" s="3"/>
      <c r="H91" s="3"/>
      <c r="I91" s="14"/>
      <c r="J91" s="99">
        <v>657.75</v>
      </c>
      <c r="K91" s="177">
        <v>1008.001875</v>
      </c>
      <c r="L91" s="99">
        <f>J91*I91</f>
        <v>0</v>
      </c>
      <c r="M91" s="6"/>
      <c r="N91" s="27"/>
    </row>
    <row r="92" spans="1:14" ht="21" x14ac:dyDescent="0.2">
      <c r="A92" s="5"/>
      <c r="B92" s="33"/>
      <c r="C92" s="3"/>
      <c r="D92" s="3"/>
      <c r="E92" s="3"/>
      <c r="F92" s="3"/>
      <c r="G92" s="3"/>
      <c r="H92" s="3"/>
      <c r="I92" s="14"/>
      <c r="J92" s="99"/>
      <c r="K92" s="177"/>
      <c r="L92" s="99">
        <f>J92*I92</f>
        <v>0</v>
      </c>
      <c r="M92" s="6"/>
      <c r="N92" s="27"/>
    </row>
    <row r="93" spans="1:14" ht="409.5" x14ac:dyDescent="0.2">
      <c r="A93" s="5">
        <v>5.33</v>
      </c>
      <c r="B93" s="33" t="s">
        <v>312</v>
      </c>
      <c r="C93" s="3"/>
      <c r="D93" s="3"/>
      <c r="E93" s="3"/>
      <c r="F93" s="3"/>
      <c r="G93" s="3"/>
      <c r="H93" s="3"/>
      <c r="I93" s="14"/>
      <c r="J93" s="99"/>
      <c r="K93" s="177"/>
      <c r="L93" s="99">
        <f>J93*I93</f>
        <v>0</v>
      </c>
      <c r="M93" s="6"/>
      <c r="N93" s="27"/>
    </row>
    <row r="94" spans="1:14" ht="21" x14ac:dyDescent="0.2">
      <c r="A94" s="5" t="s">
        <v>100</v>
      </c>
      <c r="B94" s="33" t="s">
        <v>101</v>
      </c>
      <c r="C94" s="3"/>
      <c r="D94" s="3"/>
      <c r="E94" s="3"/>
      <c r="F94" s="3"/>
      <c r="G94" s="3"/>
      <c r="H94" s="3"/>
      <c r="I94" s="14"/>
      <c r="J94" s="99"/>
      <c r="K94" s="177"/>
      <c r="L94" s="99">
        <f>J94*I94</f>
        <v>0</v>
      </c>
      <c r="M94" s="6"/>
      <c r="N94" s="27"/>
    </row>
    <row r="95" spans="1:14" ht="42" x14ac:dyDescent="0.2">
      <c r="A95" s="5" t="s">
        <v>102</v>
      </c>
      <c r="B95" s="33" t="s">
        <v>313</v>
      </c>
      <c r="C95" s="3" t="s">
        <v>43</v>
      </c>
      <c r="D95" s="3"/>
      <c r="E95" s="3"/>
      <c r="F95" s="3"/>
      <c r="G95" s="3"/>
      <c r="H95" s="3" t="s">
        <v>309</v>
      </c>
      <c r="I95" s="14">
        <f>SUM(I96:I113)</f>
        <v>94.91040000000001</v>
      </c>
      <c r="J95" s="99">
        <v>7997.3</v>
      </c>
      <c r="K95" s="177">
        <v>6051.5569100000002</v>
      </c>
      <c r="L95" s="99">
        <f>J95*I95</f>
        <v>759026.94192000013</v>
      </c>
      <c r="M95" s="6"/>
      <c r="N95" s="27"/>
    </row>
    <row r="96" spans="1:14" ht="21" x14ac:dyDescent="0.2">
      <c r="A96" s="5"/>
      <c r="B96" s="33" t="s">
        <v>333</v>
      </c>
      <c r="C96" s="3"/>
      <c r="D96" s="3"/>
      <c r="E96" s="99">
        <f>E45</f>
        <v>1</v>
      </c>
      <c r="F96" s="2">
        <f>F45-0.2</f>
        <v>6</v>
      </c>
      <c r="G96" s="2">
        <f>G45-0.2</f>
        <v>6</v>
      </c>
      <c r="H96" s="3">
        <v>1.2</v>
      </c>
      <c r="I96" s="14">
        <f>PRODUCT(E96:H96)</f>
        <v>43.199999999999996</v>
      </c>
      <c r="J96" s="99"/>
      <c r="K96" s="177"/>
      <c r="L96" s="99"/>
      <c r="M96" s="6"/>
      <c r="N96" s="27"/>
    </row>
    <row r="97" spans="1:23" ht="21" customHeight="1" x14ac:dyDescent="0.2">
      <c r="A97" s="5"/>
      <c r="B97" s="33"/>
      <c r="C97" s="3"/>
      <c r="D97" s="3"/>
      <c r="E97" s="99"/>
      <c r="F97" s="2"/>
      <c r="G97" s="2"/>
      <c r="H97" s="3"/>
      <c r="I97" s="14"/>
      <c r="J97" s="99"/>
      <c r="K97" s="177"/>
      <c r="L97" s="99"/>
      <c r="M97" s="6"/>
      <c r="N97" s="27"/>
    </row>
    <row r="98" spans="1:23" ht="21" x14ac:dyDescent="0.2">
      <c r="A98" s="5"/>
      <c r="B98" s="33"/>
      <c r="C98" s="3"/>
      <c r="D98" s="3"/>
      <c r="E98" s="99">
        <v>1</v>
      </c>
      <c r="F98" s="3">
        <v>2.5</v>
      </c>
      <c r="G98" s="3">
        <v>2.5</v>
      </c>
      <c r="H98" s="3">
        <v>2.5</v>
      </c>
      <c r="I98" s="14">
        <f>PRODUCT(E98:H98)</f>
        <v>15.625</v>
      </c>
      <c r="J98" s="99"/>
      <c r="K98" s="177"/>
      <c r="L98" s="99"/>
      <c r="M98" s="6"/>
      <c r="N98" s="27"/>
    </row>
    <row r="99" spans="1:23" ht="23.25" x14ac:dyDescent="0.35">
      <c r="A99" s="5"/>
      <c r="B99" s="33"/>
      <c r="C99" s="3"/>
      <c r="D99" s="3"/>
      <c r="E99" s="99"/>
      <c r="F99" s="3"/>
      <c r="G99" s="3"/>
      <c r="H99" s="3"/>
      <c r="I99" s="14"/>
      <c r="J99" s="99"/>
      <c r="K99" s="177"/>
      <c r="L99" s="99"/>
      <c r="M99" s="6"/>
      <c r="N99" s="27"/>
      <c r="P99" s="252"/>
      <c r="Q99" s="252"/>
      <c r="R99" s="253"/>
      <c r="S99" s="252"/>
      <c r="T99" s="253"/>
      <c r="U99" s="252"/>
      <c r="V99" s="252"/>
      <c r="W99" s="253"/>
    </row>
    <row r="100" spans="1:23" ht="23.25" x14ac:dyDescent="0.35">
      <c r="A100" s="5"/>
      <c r="B100" s="3" t="s">
        <v>370</v>
      </c>
      <c r="C100" s="3"/>
      <c r="D100" s="3"/>
      <c r="E100" s="99">
        <v>3</v>
      </c>
      <c r="F100" s="3">
        <v>7.05</v>
      </c>
      <c r="G100" s="3">
        <f>3.18</f>
        <v>3.18</v>
      </c>
      <c r="H100" s="3">
        <v>0.2</v>
      </c>
      <c r="I100" s="14">
        <f>PRODUCT(E100:H100)</f>
        <v>13.451400000000001</v>
      </c>
      <c r="J100" s="99"/>
      <c r="K100" s="177"/>
      <c r="L100" s="99"/>
      <c r="M100" s="6"/>
      <c r="N100" s="27"/>
      <c r="P100" s="252"/>
    </row>
    <row r="101" spans="1:23" ht="23.25" x14ac:dyDescent="0.35">
      <c r="A101" s="5"/>
      <c r="B101" s="3" t="s">
        <v>371</v>
      </c>
      <c r="C101" s="3"/>
      <c r="D101" s="3"/>
      <c r="E101" s="99">
        <v>3</v>
      </c>
      <c r="F101" s="3">
        <v>3</v>
      </c>
      <c r="G101" s="3">
        <v>0.9</v>
      </c>
      <c r="H101" s="3">
        <v>0.15</v>
      </c>
      <c r="I101" s="14">
        <f>PRODUCT(E101:H101)</f>
        <v>1.2149999999999999</v>
      </c>
      <c r="J101" s="99"/>
      <c r="K101" s="177"/>
      <c r="L101" s="99"/>
      <c r="M101" s="6"/>
      <c r="N101" s="27"/>
      <c r="P101" s="252"/>
    </row>
    <row r="102" spans="1:23" ht="23.25" x14ac:dyDescent="0.35">
      <c r="A102" s="5"/>
      <c r="B102" s="3" t="s">
        <v>372</v>
      </c>
      <c r="C102" s="3"/>
      <c r="D102" s="3"/>
      <c r="E102" s="99">
        <v>1</v>
      </c>
      <c r="F102" s="3">
        <v>2.6</v>
      </c>
      <c r="G102" s="3">
        <v>0.9</v>
      </c>
      <c r="H102" s="3">
        <v>0.15</v>
      </c>
      <c r="I102" s="14">
        <f>PRODUCT(E102:H102)</f>
        <v>0.35100000000000003</v>
      </c>
      <c r="J102" s="99"/>
      <c r="K102" s="177"/>
      <c r="L102" s="99"/>
      <c r="M102" s="6"/>
      <c r="N102" s="27"/>
      <c r="P102" s="252"/>
    </row>
    <row r="103" spans="1:23" ht="23.25" x14ac:dyDescent="0.35">
      <c r="A103" s="5"/>
      <c r="B103" s="3" t="s">
        <v>373</v>
      </c>
      <c r="C103" s="3"/>
      <c r="D103" s="3"/>
      <c r="E103" s="99">
        <v>3</v>
      </c>
      <c r="F103" s="3">
        <v>1.6</v>
      </c>
      <c r="G103" s="3">
        <v>0.84599999999999997</v>
      </c>
      <c r="H103" s="3">
        <v>0.15</v>
      </c>
      <c r="I103" s="14">
        <f>PRODUCT(E103:H103)</f>
        <v>0.60911999999999999</v>
      </c>
      <c r="J103" s="99"/>
      <c r="K103" s="177"/>
      <c r="L103" s="99"/>
      <c r="M103" s="6"/>
      <c r="N103" s="27"/>
      <c r="P103" s="252"/>
    </row>
    <row r="104" spans="1:23" ht="23.25" x14ac:dyDescent="0.35">
      <c r="A104" s="5"/>
      <c r="B104" s="3"/>
      <c r="C104" s="3"/>
      <c r="D104" s="3"/>
      <c r="E104" s="99"/>
      <c r="F104" s="3"/>
      <c r="G104" s="3"/>
      <c r="H104" s="3"/>
      <c r="I104" s="14"/>
      <c r="J104" s="99"/>
      <c r="K104" s="177"/>
      <c r="L104" s="99"/>
      <c r="M104" s="6"/>
      <c r="N104" s="27"/>
      <c r="P104" s="252"/>
      <c r="Q104" s="252"/>
      <c r="R104" s="253"/>
      <c r="S104" s="252"/>
      <c r="T104" s="253"/>
      <c r="U104" s="252"/>
      <c r="V104" s="252"/>
      <c r="W104" s="252"/>
    </row>
    <row r="105" spans="1:23" ht="23.25" x14ac:dyDescent="0.35">
      <c r="A105" s="5"/>
      <c r="B105" s="99" t="str">
        <f>B46</f>
        <v xml:space="preserve">INTERNAL TRENCH FOR BOILER 1200 MM WIDE </v>
      </c>
      <c r="C105" s="3"/>
      <c r="D105" s="3"/>
      <c r="E105" s="99"/>
      <c r="F105" s="99">
        <f>F46</f>
        <v>8.15</v>
      </c>
      <c r="G105" s="2">
        <f>G46-0.2</f>
        <v>1.1999999999999997</v>
      </c>
      <c r="H105" s="3">
        <v>0.15</v>
      </c>
      <c r="I105" s="14">
        <f>PRODUCT(E105:H105)</f>
        <v>1.4669999999999996</v>
      </c>
      <c r="J105" s="99"/>
      <c r="K105" s="177"/>
      <c r="L105" s="99"/>
      <c r="M105" s="6"/>
      <c r="N105" s="27"/>
      <c r="P105" s="252"/>
    </row>
    <row r="106" spans="1:23" ht="23.25" x14ac:dyDescent="0.35">
      <c r="A106" s="5"/>
      <c r="B106" s="99" t="str">
        <f>B47</f>
        <v xml:space="preserve">INTERNAL TRENCH FOR BOILER 900 MM WIDE </v>
      </c>
      <c r="C106" s="3"/>
      <c r="D106" s="3"/>
      <c r="E106" s="99"/>
      <c r="F106" s="99">
        <f>F47</f>
        <v>29.625</v>
      </c>
      <c r="G106" s="2">
        <f>G47-0.2</f>
        <v>0.90000000000000013</v>
      </c>
      <c r="H106" s="3">
        <v>0.15</v>
      </c>
      <c r="I106" s="14">
        <f>PRODUCT(E106:H106)</f>
        <v>3.9993750000000006</v>
      </c>
      <c r="J106" s="99"/>
      <c r="K106" s="177"/>
      <c r="L106" s="99"/>
      <c r="M106" s="6"/>
      <c r="N106" s="27"/>
      <c r="P106" s="252"/>
    </row>
    <row r="107" spans="1:23" ht="23.25" x14ac:dyDescent="0.35">
      <c r="A107" s="5"/>
      <c r="B107" s="99" t="str">
        <f>B48</f>
        <v xml:space="preserve">INTERNAL TRENCH FOR BOILER 700 MM WIDE </v>
      </c>
      <c r="C107" s="3"/>
      <c r="D107" s="3"/>
      <c r="E107" s="99"/>
      <c r="F107" s="99">
        <f>F48</f>
        <v>41.472999999999999</v>
      </c>
      <c r="G107" s="2">
        <f>G48-0.2</f>
        <v>0.7</v>
      </c>
      <c r="H107" s="3">
        <v>0.15</v>
      </c>
      <c r="I107" s="14">
        <f>PRODUCT(E107:H107)</f>
        <v>4.3546649999999998</v>
      </c>
      <c r="J107" s="99"/>
      <c r="K107" s="177"/>
      <c r="L107" s="99"/>
      <c r="M107" s="6"/>
      <c r="N107" s="27"/>
      <c r="P107" s="252"/>
    </row>
    <row r="108" spans="1:23" ht="23.25" x14ac:dyDescent="0.35">
      <c r="A108" s="5"/>
      <c r="B108" s="99" t="str">
        <f>B49</f>
        <v xml:space="preserve">INTERNAL TRENCH FOR BOILER 400 MM WIDE </v>
      </c>
      <c r="C108" s="3"/>
      <c r="D108" s="3"/>
      <c r="E108" s="99"/>
      <c r="F108" s="99">
        <f>F49</f>
        <v>30.7</v>
      </c>
      <c r="G108" s="2">
        <f>G49-0.2</f>
        <v>0.40000000000000008</v>
      </c>
      <c r="H108" s="3">
        <v>0.15</v>
      </c>
      <c r="I108" s="14">
        <f>PRODUCT(E108:H108)</f>
        <v>1.8420000000000003</v>
      </c>
      <c r="J108" s="99"/>
      <c r="K108" s="177"/>
      <c r="L108" s="99"/>
      <c r="M108" s="6"/>
      <c r="N108" s="27"/>
      <c r="P108" s="252"/>
    </row>
    <row r="109" spans="1:23" ht="23.25" x14ac:dyDescent="0.35">
      <c r="A109" s="5"/>
      <c r="B109" s="99" t="s">
        <v>374</v>
      </c>
      <c r="C109" s="3"/>
      <c r="D109" s="3"/>
      <c r="E109" s="99"/>
      <c r="F109" s="99"/>
      <c r="G109" s="14"/>
      <c r="H109" s="3"/>
      <c r="I109" s="14"/>
      <c r="J109" s="99"/>
      <c r="K109" s="177"/>
      <c r="L109" s="99"/>
      <c r="M109" s="6"/>
      <c r="N109" s="27"/>
      <c r="P109" s="252"/>
    </row>
    <row r="110" spans="1:23" ht="21" x14ac:dyDescent="0.2">
      <c r="A110" s="5"/>
      <c r="B110" s="99" t="str">
        <f>B105</f>
        <v xml:space="preserve">INTERNAL TRENCH FOR BOILER 1200 MM WIDE </v>
      </c>
      <c r="C110" s="3"/>
      <c r="D110" s="3"/>
      <c r="E110" s="99">
        <v>2</v>
      </c>
      <c r="F110" s="99">
        <f>F105</f>
        <v>8.15</v>
      </c>
      <c r="G110" s="14">
        <v>0.1</v>
      </c>
      <c r="H110" s="3">
        <v>0.4</v>
      </c>
      <c r="I110" s="14">
        <f>PRODUCT(E110:H110)</f>
        <v>0.65200000000000014</v>
      </c>
      <c r="J110" s="99"/>
      <c r="K110" s="177"/>
      <c r="L110" s="99"/>
      <c r="M110" s="6"/>
      <c r="N110" s="27"/>
    </row>
    <row r="111" spans="1:23" ht="21" x14ac:dyDescent="0.2">
      <c r="A111" s="5"/>
      <c r="B111" s="99" t="str">
        <f>B106</f>
        <v xml:space="preserve">INTERNAL TRENCH FOR BOILER 900 MM WIDE </v>
      </c>
      <c r="C111" s="3"/>
      <c r="D111" s="3"/>
      <c r="E111" s="99">
        <v>2</v>
      </c>
      <c r="F111" s="99">
        <f>F106</f>
        <v>29.625</v>
      </c>
      <c r="G111" s="14">
        <v>0.1</v>
      </c>
      <c r="H111" s="3">
        <v>0.4</v>
      </c>
      <c r="I111" s="14">
        <f>PRODUCT(E111:H111)</f>
        <v>2.3700000000000006</v>
      </c>
      <c r="J111" s="99"/>
      <c r="K111" s="177"/>
      <c r="L111" s="99"/>
      <c r="M111" s="6"/>
      <c r="N111" s="27"/>
    </row>
    <row r="112" spans="1:23" ht="21" x14ac:dyDescent="0.2">
      <c r="A112" s="5"/>
      <c r="B112" s="99" t="str">
        <f>B107</f>
        <v xml:space="preserve">INTERNAL TRENCH FOR BOILER 700 MM WIDE </v>
      </c>
      <c r="C112" s="3"/>
      <c r="D112" s="3"/>
      <c r="E112" s="99">
        <v>2</v>
      </c>
      <c r="F112" s="99">
        <f>F107</f>
        <v>41.472999999999999</v>
      </c>
      <c r="G112" s="14">
        <v>0.1</v>
      </c>
      <c r="H112" s="3">
        <v>0.4</v>
      </c>
      <c r="I112" s="14">
        <f>PRODUCT(E112:H112)</f>
        <v>3.3178400000000003</v>
      </c>
      <c r="J112" s="99"/>
      <c r="K112" s="177"/>
      <c r="L112" s="99"/>
      <c r="M112" s="6"/>
      <c r="N112" s="27"/>
    </row>
    <row r="113" spans="1:23" ht="21" x14ac:dyDescent="0.2">
      <c r="A113" s="5"/>
      <c r="B113" s="99" t="str">
        <f>B108</f>
        <v xml:space="preserve">INTERNAL TRENCH FOR BOILER 400 MM WIDE </v>
      </c>
      <c r="C113" s="3"/>
      <c r="D113" s="3"/>
      <c r="E113" s="99">
        <v>2</v>
      </c>
      <c r="F113" s="99">
        <f>F108</f>
        <v>30.7</v>
      </c>
      <c r="G113" s="14">
        <v>0.1</v>
      </c>
      <c r="H113" s="3">
        <v>0.4</v>
      </c>
      <c r="I113" s="14">
        <f>PRODUCT(E113:H113)</f>
        <v>2.4560000000000004</v>
      </c>
      <c r="J113" s="99"/>
      <c r="K113" s="177"/>
      <c r="L113" s="99"/>
      <c r="M113" s="6"/>
      <c r="N113" s="27"/>
    </row>
    <row r="114" spans="1:23" ht="21" x14ac:dyDescent="0.2">
      <c r="A114" s="5"/>
      <c r="B114" s="33"/>
      <c r="C114" s="3"/>
      <c r="D114" s="3"/>
      <c r="E114" s="3"/>
      <c r="F114" s="3"/>
      <c r="G114" s="3"/>
      <c r="H114" s="3"/>
      <c r="I114" s="14"/>
      <c r="J114" s="99"/>
      <c r="K114" s="177"/>
      <c r="L114" s="99"/>
      <c r="M114" s="6"/>
      <c r="N114" s="27"/>
    </row>
    <row r="115" spans="1:23" ht="42" x14ac:dyDescent="0.35">
      <c r="A115" s="5" t="s">
        <v>233</v>
      </c>
      <c r="B115" s="33" t="s">
        <v>234</v>
      </c>
      <c r="C115" s="3" t="s">
        <v>112</v>
      </c>
      <c r="D115" s="3"/>
      <c r="E115" s="3"/>
      <c r="F115" s="3"/>
      <c r="G115" s="3"/>
      <c r="H115" s="3"/>
      <c r="I115" s="174">
        <f>SUM(I116:I125)</f>
        <v>4080.7797532500003</v>
      </c>
      <c r="J115" s="200">
        <v>142.30000000000001</v>
      </c>
      <c r="K115" s="254">
        <f>J115*I115</f>
        <v>580694.95888747508</v>
      </c>
      <c r="L115" s="99">
        <f>J115*I115</f>
        <v>580694.95888747508</v>
      </c>
      <c r="M115" s="6"/>
      <c r="N115" s="27"/>
      <c r="W115" s="252"/>
    </row>
    <row r="116" spans="1:23" ht="23.25" x14ac:dyDescent="0.35">
      <c r="A116" s="5"/>
      <c r="B116" s="33"/>
      <c r="C116" s="3"/>
      <c r="D116" s="255">
        <f>F105</f>
        <v>8.15</v>
      </c>
      <c r="E116" s="256">
        <f>G105/0.04</f>
        <v>29.999999999999993</v>
      </c>
      <c r="F116" s="256">
        <f>0.045</f>
        <v>4.4999999999999998E-2</v>
      </c>
      <c r="G116" s="256">
        <f>5/1000</f>
        <v>5.0000000000000001E-3</v>
      </c>
      <c r="H116" s="255">
        <v>7850</v>
      </c>
      <c r="I116" s="14">
        <f>PRODUCT(D116:H116)</f>
        <v>431.84812499999992</v>
      </c>
      <c r="J116" s="255"/>
      <c r="K116" s="252">
        <f>PRODUCT(P105:U105)</f>
        <v>0</v>
      </c>
      <c r="L116" s="99"/>
      <c r="M116" s="6"/>
      <c r="N116" s="27"/>
      <c r="W116" s="252"/>
    </row>
    <row r="117" spans="1:23" ht="23.25" x14ac:dyDescent="0.35">
      <c r="A117" s="5"/>
      <c r="B117" s="33"/>
      <c r="C117" s="3"/>
      <c r="D117" s="255">
        <f>F106</f>
        <v>29.625</v>
      </c>
      <c r="E117" s="256">
        <f>G106/0.04</f>
        <v>22.500000000000004</v>
      </c>
      <c r="F117" s="256">
        <f>0.045</f>
        <v>4.4999999999999998E-2</v>
      </c>
      <c r="G117" s="256">
        <f>5/1000</f>
        <v>5.0000000000000001E-3</v>
      </c>
      <c r="H117" s="255">
        <v>7850</v>
      </c>
      <c r="I117" s="14">
        <f>PRODUCT(D117:H117)</f>
        <v>1177.3160156250001</v>
      </c>
      <c r="J117" s="255"/>
      <c r="K117" s="252">
        <f>PRODUCT(P106:U106)</f>
        <v>0</v>
      </c>
      <c r="L117" s="99"/>
      <c r="M117" s="6"/>
      <c r="N117" s="27"/>
      <c r="W117" s="252"/>
    </row>
    <row r="118" spans="1:23" ht="23.25" x14ac:dyDescent="0.35">
      <c r="A118" s="5"/>
      <c r="B118" s="33"/>
      <c r="C118" s="3"/>
      <c r="D118" s="255">
        <f>F107</f>
        <v>41.472999999999999</v>
      </c>
      <c r="E118" s="256">
        <f>G107/0.04</f>
        <v>17.5</v>
      </c>
      <c r="F118" s="256">
        <f>0.045</f>
        <v>4.4999999999999998E-2</v>
      </c>
      <c r="G118" s="256">
        <f>5/1000</f>
        <v>5.0000000000000001E-3</v>
      </c>
      <c r="H118" s="255">
        <v>7850</v>
      </c>
      <c r="I118" s="14">
        <f>PRODUCT(D118:H118)</f>
        <v>1281.9045093749999</v>
      </c>
      <c r="J118" s="255"/>
      <c r="K118" s="252">
        <f>PRODUCT(P107:U107)</f>
        <v>0</v>
      </c>
      <c r="L118" s="99"/>
      <c r="M118" s="6"/>
      <c r="N118" s="27"/>
      <c r="W118" s="252"/>
    </row>
    <row r="119" spans="1:23" ht="23.25" x14ac:dyDescent="0.35">
      <c r="A119" s="5"/>
      <c r="B119" s="33"/>
      <c r="C119" s="3"/>
      <c r="D119" s="255">
        <f>F108</f>
        <v>30.7</v>
      </c>
      <c r="E119" s="256">
        <f>G108/0.04</f>
        <v>10.000000000000002</v>
      </c>
      <c r="F119" s="256">
        <f>0.045</f>
        <v>4.4999999999999998E-2</v>
      </c>
      <c r="G119" s="256">
        <f>5/1000</f>
        <v>5.0000000000000001E-3</v>
      </c>
      <c r="H119" s="255">
        <v>7850</v>
      </c>
      <c r="I119" s="14">
        <f>PRODUCT(D119:H119)</f>
        <v>542.2387500000001</v>
      </c>
      <c r="J119" s="255"/>
      <c r="K119" s="252">
        <f>PRODUCT(P108:U108)</f>
        <v>0</v>
      </c>
      <c r="L119" s="99"/>
      <c r="M119" s="6"/>
      <c r="N119" s="27"/>
      <c r="W119" s="252"/>
    </row>
    <row r="120" spans="1:23" ht="23.25" x14ac:dyDescent="0.35">
      <c r="A120" s="5"/>
      <c r="B120" s="255" t="s">
        <v>375</v>
      </c>
      <c r="C120" s="3"/>
      <c r="D120" s="6"/>
      <c r="E120" s="256"/>
      <c r="F120" s="255"/>
      <c r="G120" s="256"/>
      <c r="H120" s="255"/>
      <c r="I120" s="14"/>
      <c r="J120" s="255"/>
      <c r="K120" s="252"/>
      <c r="L120" s="99"/>
      <c r="M120" s="6"/>
      <c r="N120" s="27"/>
      <c r="W120" s="252"/>
    </row>
    <row r="121" spans="1:23" ht="23.25" x14ac:dyDescent="0.35">
      <c r="A121" s="5"/>
      <c r="B121" s="33"/>
      <c r="C121" s="3"/>
      <c r="D121" s="255">
        <v>2</v>
      </c>
      <c r="E121" s="255">
        <f>F110</f>
        <v>8.15</v>
      </c>
      <c r="F121" s="256">
        <f>0.25*0.25</f>
        <v>6.25E-2</v>
      </c>
      <c r="G121" s="255">
        <v>7850</v>
      </c>
      <c r="H121" s="256">
        <f>6/1000</f>
        <v>6.0000000000000001E-3</v>
      </c>
      <c r="I121" s="14">
        <f>PRODUCT(D121:H121)</f>
        <v>47.983125000000001</v>
      </c>
      <c r="J121" s="255"/>
      <c r="K121" s="252">
        <f>PRODUCT(D121:H121)</f>
        <v>47.983125000000001</v>
      </c>
      <c r="L121" s="99"/>
      <c r="M121" s="6"/>
      <c r="N121" s="27"/>
      <c r="W121" s="252"/>
    </row>
    <row r="122" spans="1:23" ht="23.25" x14ac:dyDescent="0.35">
      <c r="A122" s="5"/>
      <c r="B122" s="33"/>
      <c r="C122" s="3"/>
      <c r="D122" s="255">
        <v>2</v>
      </c>
      <c r="E122" s="255">
        <f>F111</f>
        <v>29.625</v>
      </c>
      <c r="F122" s="256">
        <f>0.25*0.25</f>
        <v>6.25E-2</v>
      </c>
      <c r="G122" s="255">
        <v>7851</v>
      </c>
      <c r="H122" s="256">
        <f>6/1000</f>
        <v>6.0000000000000001E-3</v>
      </c>
      <c r="I122" s="14">
        <f>PRODUCT(D122:H122)</f>
        <v>174.43940624999999</v>
      </c>
      <c r="J122" s="255"/>
      <c r="K122" s="252">
        <f>PRODUCT(D122:H122)</f>
        <v>174.43940624999999</v>
      </c>
      <c r="L122" s="99"/>
      <c r="M122" s="6"/>
      <c r="N122" s="27"/>
      <c r="W122" s="252"/>
    </row>
    <row r="123" spans="1:23" ht="23.25" x14ac:dyDescent="0.35">
      <c r="A123" s="5"/>
      <c r="B123" s="33"/>
      <c r="C123" s="3"/>
      <c r="D123" s="255">
        <v>2</v>
      </c>
      <c r="E123" s="255">
        <f>F112</f>
        <v>41.472999999999999</v>
      </c>
      <c r="F123" s="256">
        <f>0.25*0.25</f>
        <v>6.25E-2</v>
      </c>
      <c r="G123" s="255">
        <v>7852</v>
      </c>
      <c r="H123" s="256">
        <f>6/1000</f>
        <v>6.0000000000000001E-3</v>
      </c>
      <c r="I123" s="14">
        <f>PRODUCT(D123:H123)</f>
        <v>244.234497</v>
      </c>
      <c r="J123" s="255"/>
      <c r="K123" s="252">
        <f>PRODUCT(D123:H123)</f>
        <v>244.234497</v>
      </c>
      <c r="L123" s="99"/>
      <c r="M123" s="6"/>
      <c r="N123" s="27"/>
      <c r="W123" s="252"/>
    </row>
    <row r="124" spans="1:23" ht="23.25" x14ac:dyDescent="0.35">
      <c r="A124" s="5"/>
      <c r="B124" s="33"/>
      <c r="C124" s="3"/>
      <c r="D124" s="255">
        <v>2</v>
      </c>
      <c r="E124" s="255">
        <f>F113</f>
        <v>30.7</v>
      </c>
      <c r="F124" s="256">
        <f>0.25*0.25</f>
        <v>6.25E-2</v>
      </c>
      <c r="G124" s="255">
        <v>7853</v>
      </c>
      <c r="H124" s="256">
        <f>6/1000</f>
        <v>6.0000000000000001E-3</v>
      </c>
      <c r="I124" s="14">
        <f>PRODUCT(D124:H124)</f>
        <v>180.815325</v>
      </c>
      <c r="J124" s="255"/>
      <c r="K124" s="252">
        <f>PRODUCT(D124:H124)</f>
        <v>180.815325</v>
      </c>
      <c r="L124" s="99"/>
      <c r="M124" s="6"/>
      <c r="N124" s="27"/>
      <c r="W124" s="252"/>
    </row>
    <row r="125" spans="1:23" ht="21" x14ac:dyDescent="0.2">
      <c r="A125" s="5"/>
      <c r="B125" s="33"/>
      <c r="C125" s="3"/>
      <c r="D125" s="3"/>
      <c r="E125" s="3"/>
      <c r="F125" s="3"/>
      <c r="G125" s="3"/>
      <c r="H125" s="3"/>
      <c r="I125" s="14"/>
      <c r="J125" s="99"/>
      <c r="K125" s="177"/>
      <c r="L125" s="99"/>
      <c r="M125" s="6"/>
      <c r="N125" s="27"/>
    </row>
    <row r="126" spans="1:23" ht="42" x14ac:dyDescent="0.35">
      <c r="A126" s="5" t="s">
        <v>104</v>
      </c>
      <c r="B126" s="33" t="s">
        <v>315</v>
      </c>
      <c r="C126" s="3" t="s">
        <v>43</v>
      </c>
      <c r="D126" s="3"/>
      <c r="E126" s="3"/>
      <c r="F126" s="3"/>
      <c r="G126" s="3"/>
      <c r="H126" s="3"/>
      <c r="I126" s="14"/>
      <c r="J126" s="99">
        <v>8599.35</v>
      </c>
      <c r="K126" s="177">
        <v>6262.0466699999997</v>
      </c>
      <c r="L126" s="99">
        <f>J126*I126</f>
        <v>0</v>
      </c>
      <c r="M126" s="6"/>
      <c r="N126" s="27"/>
      <c r="W126" s="252"/>
    </row>
    <row r="127" spans="1:23" ht="21" x14ac:dyDescent="0.2">
      <c r="A127" s="5" t="s">
        <v>106</v>
      </c>
      <c r="B127" s="33" t="s">
        <v>107</v>
      </c>
      <c r="C127" s="3"/>
      <c r="D127" s="3"/>
      <c r="E127" s="3"/>
      <c r="F127" s="3"/>
      <c r="G127" s="3"/>
      <c r="H127" s="3"/>
      <c r="I127" s="14"/>
      <c r="J127" s="99"/>
      <c r="K127" s="177">
        <v>0</v>
      </c>
      <c r="L127" s="99">
        <f>J127*I127</f>
        <v>0</v>
      </c>
      <c r="M127" s="6"/>
      <c r="N127" s="27"/>
    </row>
    <row r="128" spans="1:23" ht="42" x14ac:dyDescent="0.2">
      <c r="A128" s="5" t="s">
        <v>108</v>
      </c>
      <c r="B128" s="33" t="s">
        <v>313</v>
      </c>
      <c r="C128" s="3" t="s">
        <v>43</v>
      </c>
      <c r="D128" s="3"/>
      <c r="E128" s="3"/>
      <c r="F128" s="3"/>
      <c r="G128" s="3"/>
      <c r="H128" s="3" t="s">
        <v>309</v>
      </c>
      <c r="I128" s="14">
        <f>SUM(I129:I129)</f>
        <v>0</v>
      </c>
      <c r="J128" s="99">
        <v>10080.15</v>
      </c>
      <c r="K128" s="177">
        <v>6660.9631200000003</v>
      </c>
      <c r="L128" s="99">
        <f>J128*I128</f>
        <v>0</v>
      </c>
      <c r="M128" s="6"/>
      <c r="N128" s="27"/>
    </row>
    <row r="129" spans="1:14" ht="21" x14ac:dyDescent="0.2">
      <c r="A129" s="5"/>
      <c r="B129" s="33"/>
      <c r="C129" s="3"/>
      <c r="D129" s="3"/>
      <c r="E129" s="3"/>
      <c r="F129" s="3"/>
      <c r="G129" s="3"/>
      <c r="H129" s="3"/>
      <c r="I129" s="14"/>
      <c r="J129" s="99"/>
      <c r="K129" s="177"/>
      <c r="L129" s="99"/>
      <c r="M129" s="6"/>
      <c r="N129" s="27"/>
    </row>
    <row r="130" spans="1:14" ht="42" x14ac:dyDescent="0.2">
      <c r="A130" s="5" t="s">
        <v>109</v>
      </c>
      <c r="B130" s="33" t="s">
        <v>315</v>
      </c>
      <c r="C130" s="3" t="s">
        <v>43</v>
      </c>
      <c r="D130" s="3"/>
      <c r="E130" s="3"/>
      <c r="F130" s="3"/>
      <c r="G130" s="3"/>
      <c r="H130" s="3"/>
      <c r="I130" s="14"/>
      <c r="J130" s="99">
        <v>10221.700000000001</v>
      </c>
      <c r="K130" s="177">
        <v>6870.0045700000001</v>
      </c>
      <c r="L130" s="99">
        <f t="shared" ref="L130:L135" si="3">J130*I130</f>
        <v>0</v>
      </c>
      <c r="M130" s="6"/>
      <c r="N130" s="27"/>
    </row>
    <row r="131" spans="1:14" ht="105" x14ac:dyDescent="0.2">
      <c r="A131" s="5">
        <v>5.22</v>
      </c>
      <c r="B131" s="33" t="s">
        <v>316</v>
      </c>
      <c r="C131" s="8"/>
      <c r="D131" s="8"/>
      <c r="E131" s="8"/>
      <c r="F131" s="8"/>
      <c r="G131" s="8"/>
      <c r="H131" s="8"/>
      <c r="I131" s="14"/>
      <c r="J131" s="99"/>
      <c r="K131" s="177">
        <v>0</v>
      </c>
      <c r="L131" s="99">
        <f t="shared" si="3"/>
        <v>0</v>
      </c>
      <c r="M131" s="6"/>
      <c r="N131" s="27"/>
    </row>
    <row r="132" spans="1:14" ht="42" x14ac:dyDescent="0.2">
      <c r="A132" s="5" t="s">
        <v>110</v>
      </c>
      <c r="B132" s="33" t="s">
        <v>111</v>
      </c>
      <c r="C132" s="3" t="s">
        <v>112</v>
      </c>
      <c r="D132" s="3"/>
      <c r="E132" s="3"/>
      <c r="F132" s="3"/>
      <c r="G132" s="3"/>
      <c r="H132" s="3" t="s">
        <v>309</v>
      </c>
      <c r="I132" s="35">
        <f>SUM(I133)</f>
        <v>10440.144</v>
      </c>
      <c r="J132" s="99">
        <v>89.65</v>
      </c>
      <c r="K132" s="177">
        <v>90.716835000000003</v>
      </c>
      <c r="L132" s="99">
        <f t="shared" si="3"/>
        <v>935958.90960000013</v>
      </c>
      <c r="M132" s="6"/>
      <c r="N132" s="27"/>
    </row>
    <row r="133" spans="1:14" ht="21" x14ac:dyDescent="0.2">
      <c r="A133" s="5"/>
      <c r="B133" s="33"/>
      <c r="C133" s="3"/>
      <c r="D133" s="3"/>
      <c r="E133" s="3">
        <v>110</v>
      </c>
      <c r="F133" s="3"/>
      <c r="G133" s="6"/>
      <c r="H133" s="14">
        <f>I128+I95</f>
        <v>94.91040000000001</v>
      </c>
      <c r="I133" s="14">
        <f>PRODUCT(E133:H133)</f>
        <v>10440.144</v>
      </c>
      <c r="J133" s="99"/>
      <c r="K133" s="177"/>
      <c r="L133" s="99">
        <f t="shared" si="3"/>
        <v>0</v>
      </c>
      <c r="M133" s="6"/>
      <c r="N133" s="27"/>
    </row>
    <row r="134" spans="1:14" ht="21" x14ac:dyDescent="0.2">
      <c r="A134" s="5"/>
      <c r="B134" s="33"/>
      <c r="C134" s="3"/>
      <c r="D134" s="3"/>
      <c r="E134" s="3"/>
      <c r="F134" s="3"/>
      <c r="G134" s="6"/>
      <c r="H134" s="14"/>
      <c r="I134" s="14"/>
      <c r="J134" s="99"/>
      <c r="K134" s="177"/>
      <c r="L134" s="99">
        <f t="shared" si="3"/>
        <v>0</v>
      </c>
      <c r="M134" s="6"/>
      <c r="N134" s="27"/>
    </row>
    <row r="135" spans="1:14" ht="23.25" x14ac:dyDescent="0.2">
      <c r="A135" s="139">
        <v>1034</v>
      </c>
      <c r="B135" s="140" t="s">
        <v>205</v>
      </c>
      <c r="C135" s="141" t="s">
        <v>206</v>
      </c>
      <c r="D135" s="141"/>
      <c r="E135" s="141"/>
      <c r="F135" s="141"/>
      <c r="G135" s="141"/>
      <c r="H135" s="141"/>
      <c r="I135" s="141">
        <v>0.5</v>
      </c>
      <c r="J135" s="200">
        <v>5200</v>
      </c>
      <c r="K135" s="200">
        <f>J135*I135</f>
        <v>2600</v>
      </c>
      <c r="L135" s="99">
        <f t="shared" si="3"/>
        <v>2600</v>
      </c>
      <c r="M135" s="6"/>
      <c r="N135" s="27"/>
    </row>
    <row r="136" spans="1:14" ht="21" x14ac:dyDescent="0.2">
      <c r="A136" s="5"/>
      <c r="B136" s="33"/>
      <c r="C136" s="3"/>
      <c r="D136" s="3"/>
      <c r="E136" s="3"/>
      <c r="F136" s="3"/>
      <c r="H136" s="14"/>
      <c r="I136" s="14"/>
      <c r="J136" s="99"/>
      <c r="K136" s="177"/>
      <c r="L136" s="99"/>
      <c r="M136" s="6"/>
      <c r="N136" s="27"/>
    </row>
    <row r="137" spans="1:14" ht="20.25" x14ac:dyDescent="0.3">
      <c r="A137" s="557"/>
      <c r="B137" s="557"/>
      <c r="C137" s="557"/>
      <c r="D137" s="557"/>
      <c r="E137" s="557"/>
      <c r="F137" s="557"/>
      <c r="G137" s="557"/>
      <c r="H137" s="557"/>
      <c r="I137" s="557"/>
      <c r="J137" s="557"/>
      <c r="K137" s="180"/>
      <c r="L137" s="99">
        <f>SUM(L7:L135)</f>
        <v>2510282.4103774754</v>
      </c>
      <c r="M137" s="48"/>
      <c r="N137" s="27"/>
    </row>
    <row r="138" spans="1:14" ht="20.25" x14ac:dyDescent="0.2">
      <c r="A138" s="50"/>
      <c r="B138" s="51"/>
      <c r="C138" s="50"/>
      <c r="D138" s="50"/>
      <c r="E138" s="50"/>
      <c r="F138" s="50"/>
      <c r="G138" s="50"/>
      <c r="H138" s="50"/>
      <c r="I138" s="52"/>
      <c r="J138" s="171"/>
      <c r="K138" s="181"/>
      <c r="L138" s="165"/>
      <c r="M138" s="6"/>
      <c r="N138" s="53"/>
    </row>
    <row r="139" spans="1:14" x14ac:dyDescent="0.2">
      <c r="N139" s="57"/>
    </row>
    <row r="140" spans="1:14" x14ac:dyDescent="0.2">
      <c r="N140" s="57"/>
    </row>
    <row r="141" spans="1:14" x14ac:dyDescent="0.2">
      <c r="N141" s="57"/>
    </row>
    <row r="142" spans="1:14" x14ac:dyDescent="0.2">
      <c r="N142" s="57"/>
    </row>
    <row r="143" spans="1:14" x14ac:dyDescent="0.2">
      <c r="N143" s="57"/>
    </row>
    <row r="144" spans="1:14" x14ac:dyDescent="0.2">
      <c r="N144" s="57"/>
    </row>
    <row r="145" spans="1:14" x14ac:dyDescent="0.2">
      <c r="N145" s="57"/>
    </row>
    <row r="146" spans="1:14" x14ac:dyDescent="0.2">
      <c r="N146" s="57"/>
    </row>
    <row r="147" spans="1:14" x14ac:dyDescent="0.2">
      <c r="N147" s="57"/>
    </row>
    <row r="148" spans="1:14" x14ac:dyDescent="0.2">
      <c r="A148" s="59"/>
      <c r="B148" s="60"/>
      <c r="C148" s="59"/>
      <c r="D148" s="59"/>
      <c r="E148" s="59"/>
      <c r="F148" s="59"/>
      <c r="G148" s="59"/>
      <c r="H148" s="59"/>
      <c r="I148" s="61"/>
      <c r="J148" s="167"/>
      <c r="K148" s="183"/>
      <c r="L148" s="167"/>
      <c r="M148" s="59"/>
      <c r="N148" s="62"/>
    </row>
  </sheetData>
  <protectedRanges>
    <protectedRange sqref="N2" name="Range1"/>
  </protectedRanges>
  <mergeCells count="7">
    <mergeCell ref="B38:B39"/>
    <mergeCell ref="A137:J137"/>
    <mergeCell ref="A1:N1"/>
    <mergeCell ref="B2:L2"/>
    <mergeCell ref="M2:N2"/>
    <mergeCell ref="A3:N3"/>
    <mergeCell ref="A4:N4"/>
  </mergeCells>
  <phoneticPr fontId="1" type="noConversion"/>
  <conditionalFormatting sqref="B32">
    <cfRule type="cellIs" dxfId="30" priority="3" stopIfTrue="1" operator="equal">
      <formula>#REF!</formula>
    </cfRule>
  </conditionalFormatting>
  <conditionalFormatting sqref="B135">
    <cfRule type="cellIs" dxfId="29" priority="1" stopIfTrue="1" operator="equal">
      <formula>#REF!</formula>
    </cfRule>
    <cfRule type="cellIs" dxfId="28" priority="2" stopIfTrue="1" operator="equal">
      <formula>#REF!</formula>
    </cfRule>
  </conditionalFormatting>
  <pageMargins left="0.7" right="0.7" top="0.75" bottom="0.75" header="0.3" footer="0.3"/>
  <pageSetup scale="2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M105"/>
  <sheetViews>
    <sheetView view="pageBreakPreview" zoomScale="60" zoomScaleNormal="60" workbookViewId="0">
      <selection activeCell="I8" sqref="I8"/>
    </sheetView>
  </sheetViews>
  <sheetFormatPr defaultColWidth="9.140625" defaultRowHeight="12.75" x14ac:dyDescent="0.2"/>
  <cols>
    <col min="1" max="1" width="13.85546875" style="7" customWidth="1"/>
    <col min="2" max="2" width="76.28515625" style="55" customWidth="1"/>
    <col min="3" max="7" width="14.42578125" style="7" customWidth="1"/>
    <col min="8" max="8" width="21.85546875" style="56" customWidth="1"/>
    <col min="9" max="9" width="17" style="166" customWidth="1"/>
    <col min="10" max="10" width="15" style="182" hidden="1" customWidth="1"/>
    <col min="11" max="11" width="26.42578125" style="166" customWidth="1"/>
    <col min="12" max="12" width="23.85546875" style="7" customWidth="1"/>
    <col min="13" max="13" width="40.7109375" style="7" customWidth="1"/>
    <col min="14" max="14" width="9.140625" style="7" customWidth="1"/>
    <col min="15" max="16384" width="9.140625" style="7"/>
  </cols>
  <sheetData>
    <row r="1" spans="1:13" ht="195.75" customHeight="1" x14ac:dyDescent="0.2">
      <c r="A1" s="559"/>
      <c r="B1" s="559"/>
      <c r="C1" s="559"/>
      <c r="D1" s="559"/>
      <c r="E1" s="559"/>
      <c r="F1" s="559"/>
      <c r="G1" s="559"/>
      <c r="H1" s="559"/>
      <c r="I1" s="559"/>
      <c r="J1" s="559"/>
      <c r="K1" s="559"/>
      <c r="L1" s="559"/>
      <c r="M1" s="560"/>
    </row>
    <row r="2" spans="1:13" ht="54" customHeight="1" x14ac:dyDescent="0.2">
      <c r="A2" s="162"/>
      <c r="B2" s="563" t="s">
        <v>13</v>
      </c>
      <c r="C2" s="564"/>
      <c r="D2" s="564"/>
      <c r="E2" s="564"/>
      <c r="F2" s="564"/>
      <c r="G2" s="564"/>
      <c r="H2" s="564"/>
      <c r="I2" s="564"/>
      <c r="J2" s="564"/>
      <c r="K2" s="565"/>
      <c r="L2" s="566" t="s">
        <v>14</v>
      </c>
      <c r="M2" s="567"/>
    </row>
    <row r="3" spans="1:13" ht="63.75" customHeight="1" x14ac:dyDescent="0.2">
      <c r="A3" s="569"/>
      <c r="B3" s="569"/>
      <c r="C3" s="569"/>
      <c r="D3" s="569"/>
      <c r="E3" s="569"/>
      <c r="F3" s="569"/>
      <c r="G3" s="569"/>
      <c r="H3" s="569"/>
      <c r="I3" s="569"/>
      <c r="J3" s="569"/>
      <c r="K3" s="569"/>
      <c r="L3" s="569"/>
      <c r="M3" s="570"/>
    </row>
    <row r="4" spans="1:13" ht="93" customHeight="1" x14ac:dyDescent="0.2">
      <c r="A4" s="554"/>
      <c r="B4" s="554"/>
      <c r="C4" s="554"/>
      <c r="D4" s="554"/>
      <c r="E4" s="554"/>
      <c r="F4" s="554"/>
      <c r="G4" s="554"/>
      <c r="H4" s="554"/>
      <c r="I4" s="554"/>
      <c r="J4" s="554"/>
      <c r="K4" s="554"/>
      <c r="L4" s="554"/>
      <c r="M4" s="555"/>
    </row>
    <row r="5" spans="1:13" ht="60.75" x14ac:dyDescent="0.2">
      <c r="A5" s="64" t="s">
        <v>17</v>
      </c>
      <c r="B5" s="18" t="s">
        <v>18</v>
      </c>
      <c r="C5" s="19" t="s">
        <v>19</v>
      </c>
      <c r="D5" s="20" t="s">
        <v>180</v>
      </c>
      <c r="E5" s="20" t="s">
        <v>302</v>
      </c>
      <c r="F5" s="20" t="s">
        <v>303</v>
      </c>
      <c r="G5" s="20" t="s">
        <v>304</v>
      </c>
      <c r="H5" s="21" t="s">
        <v>305</v>
      </c>
      <c r="I5" s="170" t="s">
        <v>37</v>
      </c>
      <c r="J5" s="175" t="s">
        <v>306</v>
      </c>
      <c r="K5" s="21" t="s">
        <v>38</v>
      </c>
      <c r="L5" s="22" t="s">
        <v>39</v>
      </c>
      <c r="M5" s="23" t="s">
        <v>40</v>
      </c>
    </row>
    <row r="6" spans="1:13" ht="22.5" x14ac:dyDescent="0.2">
      <c r="A6" s="65"/>
      <c r="B6" s="25"/>
      <c r="C6" s="20"/>
      <c r="D6" s="20"/>
      <c r="E6" s="20"/>
      <c r="F6" s="20"/>
      <c r="G6" s="20"/>
      <c r="H6" s="26"/>
      <c r="I6" s="101"/>
      <c r="J6" s="176"/>
      <c r="K6" s="26"/>
      <c r="L6" s="6"/>
      <c r="M6" s="27"/>
    </row>
    <row r="7" spans="1:13" ht="147" customHeight="1" x14ac:dyDescent="0.2">
      <c r="A7" s="5">
        <v>2.6</v>
      </c>
      <c r="B7" s="33" t="s">
        <v>41</v>
      </c>
      <c r="C7" s="3"/>
      <c r="D7" s="3"/>
      <c r="E7" s="3"/>
      <c r="F7" s="3"/>
      <c r="G7" s="3"/>
      <c r="H7" s="14"/>
      <c r="I7" s="99"/>
      <c r="J7" s="177"/>
      <c r="K7" s="99"/>
      <c r="L7" s="6"/>
      <c r="M7" s="27"/>
    </row>
    <row r="8" spans="1:13" ht="21" x14ac:dyDescent="0.2">
      <c r="A8" s="5"/>
      <c r="B8" s="33" t="s">
        <v>42</v>
      </c>
      <c r="C8" s="3" t="s">
        <v>43</v>
      </c>
      <c r="D8" s="3"/>
      <c r="E8" s="3"/>
      <c r="F8" s="3"/>
      <c r="G8" s="3"/>
      <c r="H8" s="14">
        <f>SUM(H9:H10)</f>
        <v>412.76</v>
      </c>
      <c r="I8" s="99">
        <v>205.45</v>
      </c>
      <c r="J8" s="177">
        <v>215.04451499999999</v>
      </c>
      <c r="K8" s="99">
        <f>I8*H8</f>
        <v>84801.541999999987</v>
      </c>
      <c r="L8" s="6"/>
      <c r="M8" s="27"/>
    </row>
    <row r="9" spans="1:13" ht="21" x14ac:dyDescent="0.2">
      <c r="A9" s="5"/>
      <c r="B9" s="33"/>
      <c r="C9" s="3"/>
      <c r="D9" s="14">
        <v>1</v>
      </c>
      <c r="E9" s="14">
        <f>12+1+0.6</f>
        <v>13.6</v>
      </c>
      <c r="F9" s="14">
        <f>25+1+0.6</f>
        <v>26.6</v>
      </c>
      <c r="G9" s="14">
        <v>1</v>
      </c>
      <c r="H9" s="14">
        <f>PRODUCT(D9:G9)</f>
        <v>361.76</v>
      </c>
      <c r="I9" s="99"/>
      <c r="J9" s="177"/>
      <c r="K9" s="99"/>
      <c r="L9" s="6"/>
      <c r="M9" s="27"/>
    </row>
    <row r="10" spans="1:13" ht="21" x14ac:dyDescent="0.2">
      <c r="A10" s="5"/>
      <c r="B10" s="33"/>
      <c r="C10" s="3"/>
      <c r="D10" s="14"/>
      <c r="E10" s="14">
        <f>50-7.5</f>
        <v>42.5</v>
      </c>
      <c r="F10" s="14">
        <f>0.6+0.6</f>
        <v>1.2</v>
      </c>
      <c r="G10" s="14">
        <v>1</v>
      </c>
      <c r="H10" s="14">
        <f>PRODUCT(D10:G10)</f>
        <v>51</v>
      </c>
      <c r="I10" s="99"/>
      <c r="J10" s="177"/>
      <c r="K10" s="99"/>
      <c r="L10" s="6"/>
      <c r="M10" s="27"/>
    </row>
    <row r="11" spans="1:13" ht="21" x14ac:dyDescent="0.2">
      <c r="A11" s="5"/>
      <c r="B11" s="33"/>
      <c r="C11" s="3"/>
      <c r="D11" s="14"/>
      <c r="E11" s="14"/>
      <c r="F11" s="14"/>
      <c r="G11" s="14"/>
      <c r="H11" s="14"/>
      <c r="I11" s="99"/>
      <c r="J11" s="177"/>
      <c r="K11" s="99"/>
      <c r="L11" s="6"/>
      <c r="M11" s="27"/>
    </row>
    <row r="12" spans="1:13" ht="126" customHeight="1" x14ac:dyDescent="0.2">
      <c r="A12" s="5">
        <v>2.7</v>
      </c>
      <c r="B12" s="33" t="s">
        <v>44</v>
      </c>
      <c r="C12" s="3"/>
      <c r="D12" s="3"/>
      <c r="E12" s="3"/>
      <c r="F12" s="3"/>
      <c r="G12" s="14"/>
      <c r="H12" s="14"/>
      <c r="I12" s="99"/>
      <c r="J12" s="99">
        <v>0</v>
      </c>
      <c r="K12" s="99">
        <f t="shared" ref="K12:K20" si="0">I12*H12</f>
        <v>0</v>
      </c>
      <c r="L12" s="6"/>
      <c r="M12" s="27"/>
    </row>
    <row r="13" spans="1:13" ht="24.75" customHeight="1" x14ac:dyDescent="0.2">
      <c r="A13" s="5" t="s">
        <v>45</v>
      </c>
      <c r="B13" s="33" t="s">
        <v>46</v>
      </c>
      <c r="C13" s="3" t="s">
        <v>43</v>
      </c>
      <c r="D13" s="3"/>
      <c r="E13" s="3"/>
      <c r="F13" s="3"/>
      <c r="G13" s="3"/>
      <c r="H13" s="14">
        <v>250</v>
      </c>
      <c r="I13" s="99">
        <v>412.95</v>
      </c>
      <c r="J13" s="177">
        <v>215.023065</v>
      </c>
      <c r="K13" s="99">
        <f t="shared" si="0"/>
        <v>103237.5</v>
      </c>
      <c r="L13" s="6"/>
      <c r="M13" s="27"/>
    </row>
    <row r="14" spans="1:13" ht="60.75" x14ac:dyDescent="0.2">
      <c r="A14" s="29">
        <v>2.2599999999999998</v>
      </c>
      <c r="B14" s="30" t="s">
        <v>47</v>
      </c>
      <c r="C14" s="31"/>
      <c r="D14" s="31"/>
      <c r="E14" s="31"/>
      <c r="F14" s="31"/>
      <c r="G14" s="31"/>
      <c r="H14" s="14"/>
      <c r="I14" s="99"/>
      <c r="J14" s="177">
        <v>0</v>
      </c>
      <c r="K14" s="99">
        <f t="shared" si="0"/>
        <v>0</v>
      </c>
      <c r="L14" s="6"/>
      <c r="M14" s="27"/>
    </row>
    <row r="15" spans="1:13" ht="20.25" x14ac:dyDescent="0.2">
      <c r="A15" s="29" t="s">
        <v>48</v>
      </c>
      <c r="B15" s="30" t="s">
        <v>49</v>
      </c>
      <c r="C15" s="31" t="s">
        <v>50</v>
      </c>
      <c r="D15" s="31"/>
      <c r="E15" s="31"/>
      <c r="F15" s="31"/>
      <c r="G15" s="31"/>
      <c r="H15" s="14"/>
      <c r="I15" s="178">
        <v>105</v>
      </c>
      <c r="J15" s="177">
        <v>91.845050000000001</v>
      </c>
      <c r="K15" s="99">
        <f t="shared" si="0"/>
        <v>0</v>
      </c>
      <c r="L15" s="6"/>
      <c r="M15" s="27"/>
    </row>
    <row r="16" spans="1:13" ht="20.25" x14ac:dyDescent="0.2">
      <c r="A16" s="29" t="s">
        <v>51</v>
      </c>
      <c r="B16" s="30" t="s">
        <v>52</v>
      </c>
      <c r="C16" s="31" t="s">
        <v>50</v>
      </c>
      <c r="D16" s="31"/>
      <c r="E16" s="31"/>
      <c r="F16" s="31"/>
      <c r="G16" s="31"/>
      <c r="H16" s="14"/>
      <c r="I16" s="178">
        <v>187</v>
      </c>
      <c r="J16" s="177">
        <v>182.56507999999999</v>
      </c>
      <c r="K16" s="99">
        <f t="shared" si="0"/>
        <v>0</v>
      </c>
      <c r="L16" s="6"/>
      <c r="M16" s="27"/>
    </row>
    <row r="17" spans="1:13" ht="189" x14ac:dyDescent="0.2">
      <c r="A17" s="5">
        <v>2.13</v>
      </c>
      <c r="B17" s="33" t="s">
        <v>53</v>
      </c>
      <c r="C17" s="3"/>
      <c r="D17" s="3"/>
      <c r="E17" s="3"/>
      <c r="F17" s="3"/>
      <c r="G17" s="3"/>
      <c r="H17" s="14"/>
      <c r="I17" s="99"/>
      <c r="J17" s="177">
        <v>0</v>
      </c>
      <c r="K17" s="99">
        <f t="shared" si="0"/>
        <v>0</v>
      </c>
      <c r="L17" s="6"/>
      <c r="M17" s="27"/>
    </row>
    <row r="18" spans="1:13" ht="42" x14ac:dyDescent="0.2">
      <c r="A18" s="5" t="s">
        <v>54</v>
      </c>
      <c r="B18" s="33" t="s">
        <v>55</v>
      </c>
      <c r="C18" s="3" t="s">
        <v>56</v>
      </c>
      <c r="D18" s="3"/>
      <c r="E18" s="3"/>
      <c r="F18" s="3"/>
      <c r="G18" s="3"/>
      <c r="H18" s="14"/>
      <c r="I18" s="99">
        <v>933.35</v>
      </c>
      <c r="J18" s="177">
        <v>616.01099999999997</v>
      </c>
      <c r="K18" s="99">
        <f t="shared" si="0"/>
        <v>0</v>
      </c>
      <c r="L18" s="6"/>
      <c r="M18" s="27"/>
    </row>
    <row r="19" spans="1:13" ht="42" x14ac:dyDescent="0.2">
      <c r="A19" s="5" t="s">
        <v>57</v>
      </c>
      <c r="B19" s="33" t="s">
        <v>58</v>
      </c>
      <c r="C19" s="3" t="s">
        <v>56</v>
      </c>
      <c r="D19" s="3"/>
      <c r="E19" s="3"/>
      <c r="F19" s="3"/>
      <c r="G19" s="3"/>
      <c r="H19" s="14"/>
      <c r="I19" s="99">
        <v>1074</v>
      </c>
      <c r="J19" s="177">
        <v>873.59159999999997</v>
      </c>
      <c r="K19" s="99">
        <f t="shared" si="0"/>
        <v>0</v>
      </c>
      <c r="L19" s="6"/>
      <c r="M19" s="27"/>
    </row>
    <row r="20" spans="1:13" ht="105" x14ac:dyDescent="0.2">
      <c r="A20" s="5">
        <v>2.25</v>
      </c>
      <c r="B20" s="33" t="s">
        <v>59</v>
      </c>
      <c r="C20" s="3" t="s">
        <v>60</v>
      </c>
      <c r="D20" s="3"/>
      <c r="E20" s="3"/>
      <c r="F20" s="3"/>
      <c r="G20" s="3"/>
      <c r="H20" s="14">
        <f>SUM(H21:H23)</f>
        <v>374.77600000000001</v>
      </c>
      <c r="I20" s="99">
        <v>253.95</v>
      </c>
      <c r="J20" s="177">
        <v>182.56465499999999</v>
      </c>
      <c r="K20" s="99">
        <f t="shared" si="0"/>
        <v>95174.3652</v>
      </c>
      <c r="L20" s="6"/>
      <c r="M20" s="27"/>
    </row>
    <row r="21" spans="1:13" ht="21" x14ac:dyDescent="0.2">
      <c r="A21" s="5"/>
      <c r="B21" s="33"/>
      <c r="C21" s="3"/>
      <c r="D21" s="3"/>
      <c r="E21" s="3"/>
      <c r="F21" s="3"/>
      <c r="G21" s="14">
        <f>H8</f>
        <v>412.76</v>
      </c>
      <c r="H21" s="14">
        <f>PRODUCT(G21)</f>
        <v>412.76</v>
      </c>
      <c r="I21" s="99"/>
      <c r="J21" s="177"/>
      <c r="K21" s="99"/>
      <c r="L21" s="6"/>
      <c r="M21" s="27"/>
    </row>
    <row r="22" spans="1:13" ht="21" x14ac:dyDescent="0.2">
      <c r="A22" s="5"/>
      <c r="B22" s="33" t="s">
        <v>337</v>
      </c>
      <c r="C22" s="3"/>
      <c r="D22" s="3"/>
      <c r="E22" s="3"/>
      <c r="F22" s="3"/>
      <c r="G22" s="14">
        <f>-H40</f>
        <v>-37.983999999999995</v>
      </c>
      <c r="H22" s="14">
        <f>PRODUCT(G22)</f>
        <v>-37.983999999999995</v>
      </c>
      <c r="I22" s="99"/>
      <c r="J22" s="177"/>
      <c r="K22" s="99"/>
      <c r="L22" s="6"/>
      <c r="M22" s="27"/>
    </row>
    <row r="23" spans="1:13" ht="21" x14ac:dyDescent="0.2">
      <c r="A23" s="5"/>
      <c r="B23" s="33"/>
      <c r="C23" s="3"/>
      <c r="D23" s="3"/>
      <c r="E23" s="3"/>
      <c r="F23" s="3"/>
      <c r="G23" s="14"/>
      <c r="H23" s="14"/>
      <c r="I23" s="99"/>
      <c r="J23" s="177"/>
      <c r="K23" s="99"/>
      <c r="L23" s="6"/>
      <c r="M23" s="27"/>
    </row>
    <row r="24" spans="1:13" ht="84" x14ac:dyDescent="0.2">
      <c r="A24" s="5">
        <v>1.1000000000000001</v>
      </c>
      <c r="B24" s="33" t="s">
        <v>61</v>
      </c>
      <c r="C24" s="6"/>
      <c r="D24" s="6"/>
      <c r="E24" s="6"/>
      <c r="F24" s="6"/>
      <c r="G24" s="6"/>
      <c r="H24" s="14"/>
      <c r="I24" s="99"/>
      <c r="J24" s="177">
        <v>0</v>
      </c>
      <c r="K24" s="99">
        <f t="shared" ref="K24:K36" si="1">I24*H24</f>
        <v>0</v>
      </c>
      <c r="L24" s="6"/>
      <c r="M24" s="27"/>
    </row>
    <row r="25" spans="1:13" ht="21" x14ac:dyDescent="0.2">
      <c r="A25" s="5" t="s">
        <v>62</v>
      </c>
      <c r="B25" s="33" t="s">
        <v>63</v>
      </c>
      <c r="C25" s="3" t="s">
        <v>60</v>
      </c>
      <c r="D25" s="3"/>
      <c r="E25" s="3"/>
      <c r="F25" s="3"/>
      <c r="G25" s="3"/>
      <c r="H25" s="14">
        <f>H8-H20</f>
        <v>37.98399999999998</v>
      </c>
      <c r="I25" s="99">
        <v>271.45</v>
      </c>
      <c r="J25" s="177">
        <v>98.563495000000003</v>
      </c>
      <c r="K25" s="99">
        <f t="shared" si="1"/>
        <v>10310.756799999994</v>
      </c>
      <c r="L25" s="6"/>
      <c r="M25" s="27"/>
    </row>
    <row r="26" spans="1:13" ht="21" x14ac:dyDescent="0.2">
      <c r="A26" s="5" t="s">
        <v>64</v>
      </c>
      <c r="B26" s="33" t="s">
        <v>65</v>
      </c>
      <c r="C26" s="3" t="s">
        <v>60</v>
      </c>
      <c r="D26" s="3"/>
      <c r="E26" s="3"/>
      <c r="F26" s="3"/>
      <c r="G26" s="3"/>
      <c r="H26" s="14"/>
      <c r="I26" s="99">
        <v>434.32</v>
      </c>
      <c r="J26" s="177">
        <v>147.84252799999999</v>
      </c>
      <c r="K26" s="99">
        <f t="shared" si="1"/>
        <v>0</v>
      </c>
      <c r="L26" s="6"/>
      <c r="M26" s="27"/>
    </row>
    <row r="27" spans="1:13" ht="182.25" x14ac:dyDescent="0.2">
      <c r="A27" s="32">
        <v>810</v>
      </c>
      <c r="B27" s="15" t="s">
        <v>308</v>
      </c>
      <c r="C27" s="3"/>
      <c r="D27" s="3"/>
      <c r="E27" s="3"/>
      <c r="F27" s="3"/>
      <c r="G27" s="3"/>
      <c r="H27" s="14"/>
      <c r="I27" s="99"/>
      <c r="J27" s="177">
        <v>0</v>
      </c>
      <c r="K27" s="99">
        <f t="shared" si="1"/>
        <v>0</v>
      </c>
      <c r="L27" s="6"/>
      <c r="M27" s="27"/>
    </row>
    <row r="28" spans="1:13" ht="21" x14ac:dyDescent="0.2">
      <c r="A28" s="32">
        <v>810</v>
      </c>
      <c r="B28" s="33" t="s">
        <v>66</v>
      </c>
      <c r="C28" s="3" t="s">
        <v>60</v>
      </c>
      <c r="D28" s="3"/>
      <c r="E28" s="3"/>
      <c r="F28" s="3"/>
      <c r="G28" s="3"/>
      <c r="H28" s="14">
        <f>SUM(H29:H31)</f>
        <v>222.67599999999999</v>
      </c>
      <c r="I28" s="99">
        <v>500</v>
      </c>
      <c r="J28" s="177">
        <v>730.25</v>
      </c>
      <c r="K28" s="99">
        <f t="shared" si="1"/>
        <v>111338</v>
      </c>
      <c r="L28" s="6"/>
      <c r="M28" s="27"/>
    </row>
    <row r="29" spans="1:13" ht="21" x14ac:dyDescent="0.2">
      <c r="A29" s="32"/>
      <c r="B29" s="33"/>
      <c r="C29" s="3"/>
      <c r="D29" s="3"/>
      <c r="E29" s="3"/>
      <c r="F29" s="3"/>
      <c r="G29" s="3"/>
      <c r="H29" s="14">
        <f>-H40</f>
        <v>-37.983999999999995</v>
      </c>
      <c r="I29" s="99"/>
      <c r="J29" s="177"/>
      <c r="K29" s="99">
        <f t="shared" si="1"/>
        <v>0</v>
      </c>
      <c r="L29" s="6"/>
      <c r="M29" s="27"/>
    </row>
    <row r="30" spans="1:13" ht="21" x14ac:dyDescent="0.2">
      <c r="A30" s="32"/>
      <c r="B30" s="33"/>
      <c r="C30" s="3"/>
      <c r="D30" s="3"/>
      <c r="E30" s="3"/>
      <c r="F30" s="3"/>
      <c r="G30" s="3"/>
      <c r="H30" s="14">
        <f>-H54</f>
        <v>-152.1</v>
      </c>
      <c r="I30" s="99"/>
      <c r="J30" s="177"/>
      <c r="K30" s="99">
        <f t="shared" si="1"/>
        <v>0</v>
      </c>
      <c r="L30" s="6"/>
      <c r="M30" s="27"/>
    </row>
    <row r="31" spans="1:13" ht="21" x14ac:dyDescent="0.2">
      <c r="A31" s="32"/>
      <c r="B31" s="33"/>
      <c r="C31" s="3"/>
      <c r="D31" s="3"/>
      <c r="E31" s="3"/>
      <c r="F31" s="3"/>
      <c r="G31" s="3"/>
      <c r="H31" s="14">
        <f>H8</f>
        <v>412.76</v>
      </c>
      <c r="I31" s="99"/>
      <c r="J31" s="177"/>
      <c r="K31" s="99">
        <f t="shared" si="1"/>
        <v>0</v>
      </c>
      <c r="L31" s="6"/>
      <c r="M31" s="27"/>
    </row>
    <row r="32" spans="1:13" ht="21" x14ac:dyDescent="0.2">
      <c r="A32" s="32">
        <v>982</v>
      </c>
      <c r="B32" s="33" t="s">
        <v>68</v>
      </c>
      <c r="C32" s="3" t="s">
        <v>60</v>
      </c>
      <c r="D32" s="3"/>
      <c r="E32" s="3"/>
      <c r="F32" s="3"/>
      <c r="G32" s="3"/>
      <c r="H32" s="7"/>
      <c r="I32" s="99">
        <v>1500</v>
      </c>
      <c r="J32" s="177">
        <v>3024</v>
      </c>
      <c r="K32" s="99">
        <f t="shared" si="1"/>
        <v>0</v>
      </c>
      <c r="L32" s="6"/>
      <c r="M32" s="27"/>
    </row>
    <row r="33" spans="1:13" ht="21" x14ac:dyDescent="0.2">
      <c r="A33" s="5"/>
      <c r="B33" s="33" t="s">
        <v>69</v>
      </c>
      <c r="C33" s="3"/>
      <c r="D33" s="3"/>
      <c r="E33" s="3"/>
      <c r="F33" s="3"/>
      <c r="G33" s="3"/>
      <c r="H33" s="14"/>
      <c r="I33" s="99"/>
      <c r="J33" s="177"/>
      <c r="K33" s="99">
        <f t="shared" si="1"/>
        <v>0</v>
      </c>
      <c r="L33" s="6"/>
      <c r="M33" s="27"/>
    </row>
    <row r="34" spans="1:13" ht="22.5" customHeight="1" x14ac:dyDescent="0.2">
      <c r="A34" s="5" t="s">
        <v>70</v>
      </c>
      <c r="B34" s="571" t="s">
        <v>71</v>
      </c>
      <c r="C34" s="14"/>
      <c r="D34" s="14"/>
      <c r="E34" s="14"/>
      <c r="F34" s="14"/>
      <c r="G34" s="14"/>
      <c r="H34" s="14"/>
      <c r="I34" s="99"/>
      <c r="J34" s="177"/>
      <c r="K34" s="99">
        <f t="shared" si="1"/>
        <v>0</v>
      </c>
      <c r="L34" s="6"/>
      <c r="M34" s="27"/>
    </row>
    <row r="35" spans="1:13" ht="21" x14ac:dyDescent="0.2">
      <c r="A35" s="5"/>
      <c r="B35" s="571"/>
      <c r="C35" s="14"/>
      <c r="D35" s="14"/>
      <c r="E35" s="14"/>
      <c r="F35" s="14"/>
      <c r="G35" s="14"/>
      <c r="H35" s="14"/>
      <c r="I35" s="99"/>
      <c r="J35" s="177">
        <v>0</v>
      </c>
      <c r="K35" s="99">
        <f t="shared" si="1"/>
        <v>0</v>
      </c>
      <c r="L35" s="6"/>
      <c r="M35" s="27"/>
    </row>
    <row r="36" spans="1:13" ht="21" x14ac:dyDescent="0.2">
      <c r="A36" s="5"/>
      <c r="B36" s="33" t="s">
        <v>72</v>
      </c>
      <c r="C36" s="3" t="s">
        <v>73</v>
      </c>
      <c r="D36" s="3"/>
      <c r="E36" s="3"/>
      <c r="F36" s="3"/>
      <c r="G36" s="3" t="s">
        <v>309</v>
      </c>
      <c r="H36" s="14">
        <f>SUM(H37:H38)</f>
        <v>0</v>
      </c>
      <c r="I36" s="99">
        <v>53</v>
      </c>
      <c r="J36" s="177">
        <v>110.8813</v>
      </c>
      <c r="K36" s="99">
        <f t="shared" si="1"/>
        <v>0</v>
      </c>
      <c r="L36" s="6"/>
      <c r="M36" s="27"/>
    </row>
    <row r="37" spans="1:13" ht="21" x14ac:dyDescent="0.2">
      <c r="A37" s="5"/>
      <c r="B37" s="33"/>
      <c r="C37" s="3"/>
      <c r="D37" s="3"/>
      <c r="E37" s="3"/>
      <c r="F37" s="3"/>
      <c r="G37" s="3"/>
      <c r="H37" s="14">
        <f>PRODUCT(D37:G37)</f>
        <v>0</v>
      </c>
      <c r="I37" s="99"/>
      <c r="J37" s="177"/>
      <c r="K37" s="99"/>
      <c r="L37" s="6"/>
      <c r="M37" s="27"/>
    </row>
    <row r="38" spans="1:13" ht="21" x14ac:dyDescent="0.2">
      <c r="A38" s="5"/>
      <c r="B38" s="33"/>
      <c r="C38" s="3"/>
      <c r="D38" s="3"/>
      <c r="E38" s="3"/>
      <c r="F38" s="3"/>
      <c r="G38" s="3"/>
      <c r="H38" s="14">
        <f>PRODUCT(D38:G38)</f>
        <v>0</v>
      </c>
      <c r="I38" s="99"/>
      <c r="J38" s="177"/>
      <c r="K38" s="99"/>
      <c r="L38" s="6"/>
      <c r="M38" s="27"/>
    </row>
    <row r="39" spans="1:13" ht="63" x14ac:dyDescent="0.2">
      <c r="A39" s="5">
        <v>4.0999999999999996</v>
      </c>
      <c r="B39" s="33" t="s">
        <v>74</v>
      </c>
      <c r="C39" s="3"/>
      <c r="D39" s="3"/>
      <c r="E39" s="3"/>
      <c r="F39" s="3"/>
      <c r="G39" s="3"/>
      <c r="H39" s="14"/>
      <c r="I39" s="99"/>
      <c r="J39" s="177"/>
      <c r="K39" s="99">
        <f>I39*H39</f>
        <v>0</v>
      </c>
      <c r="L39" s="6"/>
      <c r="M39" s="27"/>
    </row>
    <row r="40" spans="1:13" ht="84" x14ac:dyDescent="0.2">
      <c r="A40" s="5" t="s">
        <v>75</v>
      </c>
      <c r="B40" s="33" t="s">
        <v>76</v>
      </c>
      <c r="C40" s="3" t="s">
        <v>43</v>
      </c>
      <c r="D40" s="3"/>
      <c r="E40" s="3"/>
      <c r="F40" s="3"/>
      <c r="G40" s="3" t="s">
        <v>309</v>
      </c>
      <c r="H40" s="14">
        <f>SUM(H41:H42)</f>
        <v>37.983999999999995</v>
      </c>
      <c r="I40" s="99">
        <v>6833.4</v>
      </c>
      <c r="J40" s="177">
        <v>4811.3969399999996</v>
      </c>
      <c r="K40" s="99">
        <f>I40*H40</f>
        <v>259559.86559999996</v>
      </c>
      <c r="L40" s="6"/>
      <c r="M40" s="27"/>
    </row>
    <row r="41" spans="1:13" ht="21" x14ac:dyDescent="0.2">
      <c r="A41" s="5"/>
      <c r="B41" s="33" t="s">
        <v>332</v>
      </c>
      <c r="C41" s="3"/>
      <c r="D41" s="14">
        <f>D9</f>
        <v>1</v>
      </c>
      <c r="E41" s="14">
        <f>E9-0.6+0.2</f>
        <v>13.2</v>
      </c>
      <c r="F41" s="14">
        <f>F9-0.6+0.2</f>
        <v>26.2</v>
      </c>
      <c r="G41" s="14">
        <v>0.1</v>
      </c>
      <c r="H41" s="14">
        <f>PRODUCT(D41:G41)</f>
        <v>34.583999999999996</v>
      </c>
      <c r="I41" s="99"/>
      <c r="J41" s="177"/>
      <c r="K41" s="99"/>
      <c r="L41" s="6"/>
      <c r="M41" s="27"/>
    </row>
    <row r="42" spans="1:13" ht="21" x14ac:dyDescent="0.2">
      <c r="A42" s="5"/>
      <c r="B42" s="33"/>
      <c r="C42" s="3"/>
      <c r="D42" s="14"/>
      <c r="E42" s="14">
        <f>E10</f>
        <v>42.5</v>
      </c>
      <c r="F42" s="14">
        <f>F10-0.6+0.2</f>
        <v>0.8</v>
      </c>
      <c r="G42" s="14">
        <v>0.1</v>
      </c>
      <c r="H42" s="14">
        <f>PRODUCT(D42:G42)</f>
        <v>3.4000000000000004</v>
      </c>
      <c r="I42" s="99"/>
      <c r="J42" s="177"/>
      <c r="K42" s="99"/>
      <c r="L42" s="6"/>
      <c r="M42" s="27"/>
    </row>
    <row r="43" spans="1:13" ht="189" x14ac:dyDescent="0.2">
      <c r="A43" s="5">
        <v>16.79</v>
      </c>
      <c r="B43" s="33" t="s">
        <v>77</v>
      </c>
      <c r="C43" s="3" t="s">
        <v>43</v>
      </c>
      <c r="D43" s="3"/>
      <c r="E43" s="3"/>
      <c r="F43" s="3"/>
      <c r="G43" s="3" t="s">
        <v>309</v>
      </c>
      <c r="H43" s="14">
        <f>SUM(H44:H45)</f>
        <v>0</v>
      </c>
      <c r="I43" s="99">
        <v>2803.65</v>
      </c>
      <c r="J43" s="177">
        <v>1985.8252950000001</v>
      </c>
      <c r="K43" s="99">
        <f>I43*H43</f>
        <v>0</v>
      </c>
      <c r="L43" s="6"/>
      <c r="M43" s="27"/>
    </row>
    <row r="44" spans="1:13" ht="21" x14ac:dyDescent="0.2">
      <c r="A44" s="5"/>
      <c r="B44" s="33"/>
      <c r="C44" s="3"/>
      <c r="D44" s="3"/>
      <c r="E44" s="3"/>
      <c r="F44" s="3"/>
      <c r="G44" s="3"/>
      <c r="H44" s="14">
        <f>PRODUCT(D44:G44)</f>
        <v>0</v>
      </c>
      <c r="I44" s="99"/>
      <c r="J44" s="177"/>
      <c r="K44" s="99"/>
      <c r="L44" s="6"/>
      <c r="M44" s="27"/>
    </row>
    <row r="45" spans="1:13" ht="21" x14ac:dyDescent="0.2">
      <c r="A45" s="5"/>
      <c r="B45" s="33"/>
      <c r="C45" s="3"/>
      <c r="D45" s="3"/>
      <c r="E45" s="3"/>
      <c r="F45" s="3"/>
      <c r="G45" s="3"/>
      <c r="H45" s="14"/>
      <c r="I45" s="99"/>
      <c r="J45" s="177"/>
      <c r="K45" s="99"/>
      <c r="L45" s="6"/>
      <c r="M45" s="27"/>
    </row>
    <row r="46" spans="1:13" ht="42" x14ac:dyDescent="0.2">
      <c r="A46" s="5" t="s">
        <v>78</v>
      </c>
      <c r="B46" s="33" t="s">
        <v>79</v>
      </c>
      <c r="C46" s="3" t="s">
        <v>73</v>
      </c>
      <c r="D46" s="3"/>
      <c r="E46" s="3"/>
      <c r="F46" s="3"/>
      <c r="G46" s="3"/>
      <c r="H46" s="14"/>
      <c r="I46" s="99">
        <v>120</v>
      </c>
      <c r="J46" s="177">
        <v>151.19999999999999</v>
      </c>
      <c r="K46" s="99">
        <f>I46*H46</f>
        <v>0</v>
      </c>
      <c r="L46" s="6"/>
      <c r="M46" s="27"/>
    </row>
    <row r="47" spans="1:13" ht="42" x14ac:dyDescent="0.2">
      <c r="A47" s="5">
        <v>5.9</v>
      </c>
      <c r="B47" s="33" t="s">
        <v>80</v>
      </c>
      <c r="C47" s="3"/>
      <c r="D47" s="3"/>
      <c r="E47" s="3"/>
      <c r="F47" s="3"/>
      <c r="G47" s="3"/>
      <c r="H47" s="14"/>
      <c r="I47" s="99"/>
      <c r="J47" s="177"/>
      <c r="K47" s="99">
        <f>I47*H47</f>
        <v>0</v>
      </c>
      <c r="L47" s="6"/>
      <c r="M47" s="27"/>
    </row>
    <row r="48" spans="1:13" ht="84" x14ac:dyDescent="0.2">
      <c r="A48" s="5" t="s">
        <v>81</v>
      </c>
      <c r="B48" s="33" t="s">
        <v>310</v>
      </c>
      <c r="C48" s="3" t="s">
        <v>73</v>
      </c>
      <c r="D48" s="3"/>
      <c r="E48" s="3"/>
      <c r="F48" s="3"/>
      <c r="G48" s="3" t="s">
        <v>309</v>
      </c>
      <c r="H48" s="14">
        <f>SUM(H49:H49)</f>
        <v>35.1</v>
      </c>
      <c r="I48" s="99">
        <v>307.95</v>
      </c>
      <c r="J48" s="177">
        <v>684.32649000000004</v>
      </c>
      <c r="K48" s="99">
        <f>I48*H48</f>
        <v>10809.045</v>
      </c>
      <c r="L48" s="6"/>
      <c r="M48" s="27"/>
    </row>
    <row r="49" spans="1:13" ht="21" x14ac:dyDescent="0.2">
      <c r="A49" s="5"/>
      <c r="B49" s="3" t="str">
        <f>B54</f>
        <v xml:space="preserve">FOOTING </v>
      </c>
      <c r="C49" s="3"/>
      <c r="D49" s="99">
        <f>D54</f>
        <v>1</v>
      </c>
      <c r="E49" s="3">
        <f>E54+F54</f>
        <v>39</v>
      </c>
      <c r="F49" s="3">
        <v>2</v>
      </c>
      <c r="G49" s="3">
        <f>G54</f>
        <v>0.45</v>
      </c>
      <c r="H49" s="14">
        <f>PRODUCT(D49:G49)</f>
        <v>35.1</v>
      </c>
      <c r="I49" s="99"/>
      <c r="J49" s="177"/>
      <c r="K49" s="99"/>
      <c r="L49" s="6"/>
      <c r="M49" s="27"/>
    </row>
    <row r="50" spans="1:13" ht="21" x14ac:dyDescent="0.2">
      <c r="A50" s="5"/>
      <c r="B50" s="3"/>
      <c r="C50" s="3"/>
      <c r="D50" s="99"/>
      <c r="E50" s="3">
        <f>E55+F55</f>
        <v>43.1</v>
      </c>
      <c r="F50" s="3">
        <v>2</v>
      </c>
      <c r="G50" s="3">
        <v>1</v>
      </c>
      <c r="H50" s="14">
        <f>PRODUCT(D50:G50)</f>
        <v>86.2</v>
      </c>
      <c r="I50" s="99"/>
      <c r="J50" s="177"/>
      <c r="K50" s="99"/>
      <c r="L50" s="6"/>
      <c r="M50" s="27"/>
    </row>
    <row r="51" spans="1:13" ht="409.5" x14ac:dyDescent="0.2">
      <c r="A51" s="5">
        <v>5.33</v>
      </c>
      <c r="B51" s="33" t="s">
        <v>312</v>
      </c>
      <c r="C51" s="3"/>
      <c r="D51" s="3"/>
      <c r="E51" s="3"/>
      <c r="F51" s="3"/>
      <c r="G51" s="3"/>
      <c r="H51" s="14"/>
      <c r="I51" s="99"/>
      <c r="J51" s="177"/>
      <c r="K51" s="99">
        <f>I51*H51</f>
        <v>0</v>
      </c>
      <c r="L51" s="6"/>
      <c r="M51" s="27"/>
    </row>
    <row r="52" spans="1:13" ht="21" x14ac:dyDescent="0.2">
      <c r="A52" s="5" t="s">
        <v>100</v>
      </c>
      <c r="B52" s="33" t="s">
        <v>101</v>
      </c>
      <c r="C52" s="3"/>
      <c r="D52" s="3"/>
      <c r="E52" s="3"/>
      <c r="F52" s="3"/>
      <c r="G52" s="3"/>
      <c r="H52" s="14"/>
      <c r="I52" s="99"/>
      <c r="J52" s="177"/>
      <c r="K52" s="99">
        <f>I52*H52</f>
        <v>0</v>
      </c>
      <c r="L52" s="6"/>
      <c r="M52" s="27"/>
    </row>
    <row r="53" spans="1:13" ht="42" x14ac:dyDescent="0.2">
      <c r="A53" s="5" t="s">
        <v>102</v>
      </c>
      <c r="B53" s="33" t="s">
        <v>313</v>
      </c>
      <c r="C53" s="3" t="s">
        <v>43</v>
      </c>
      <c r="D53" s="3"/>
      <c r="E53" s="3"/>
      <c r="F53" s="3"/>
      <c r="G53" s="3" t="s">
        <v>309</v>
      </c>
      <c r="H53" s="14">
        <f>SUM(H54:H56)</f>
        <v>215.125</v>
      </c>
      <c r="I53" s="99">
        <v>7997.3</v>
      </c>
      <c r="J53" s="177">
        <v>6051.5569100000002</v>
      </c>
      <c r="K53" s="99">
        <f>I53*H53</f>
        <v>1720419.1625000001</v>
      </c>
      <c r="L53" s="6"/>
      <c r="M53" s="27"/>
    </row>
    <row r="54" spans="1:13" ht="21" x14ac:dyDescent="0.2">
      <c r="A54" s="5"/>
      <c r="B54" s="33" t="s">
        <v>333</v>
      </c>
      <c r="C54" s="3"/>
      <c r="D54" s="99">
        <f>D41</f>
        <v>1</v>
      </c>
      <c r="E54" s="2">
        <f>E41-0.2</f>
        <v>13</v>
      </c>
      <c r="F54" s="2">
        <f>F41-0.2</f>
        <v>26</v>
      </c>
      <c r="G54" s="3">
        <v>0.45</v>
      </c>
      <c r="H54" s="14">
        <f>PRODUCT(D54:G54)</f>
        <v>152.1</v>
      </c>
      <c r="I54" s="99"/>
      <c r="J54" s="177"/>
      <c r="K54" s="99"/>
      <c r="L54" s="6"/>
      <c r="M54" s="27"/>
    </row>
    <row r="55" spans="1:13" ht="21" x14ac:dyDescent="0.2">
      <c r="A55" s="5"/>
      <c r="B55" s="33"/>
      <c r="C55" s="3"/>
      <c r="D55" s="99"/>
      <c r="E55" s="2">
        <f>E42</f>
        <v>42.5</v>
      </c>
      <c r="F55" s="2">
        <f>F42-0.2</f>
        <v>0.60000000000000009</v>
      </c>
      <c r="G55" s="3">
        <v>0.15</v>
      </c>
      <c r="H55" s="14">
        <f>PRODUCT(D55:G55)</f>
        <v>3.8250000000000002</v>
      </c>
      <c r="I55" s="99"/>
      <c r="J55" s="177"/>
      <c r="K55" s="99"/>
      <c r="L55" s="6"/>
      <c r="M55" s="27"/>
    </row>
    <row r="56" spans="1:13" ht="21" x14ac:dyDescent="0.2">
      <c r="A56" s="5"/>
      <c r="B56" s="33" t="s">
        <v>376</v>
      </c>
      <c r="C56" s="3"/>
      <c r="D56" s="99">
        <v>4</v>
      </c>
      <c r="E56" s="2">
        <v>10</v>
      </c>
      <c r="F56" s="2">
        <v>3.7</v>
      </c>
      <c r="G56" s="3">
        <v>0.4</v>
      </c>
      <c r="H56" s="14">
        <f>PRODUCT(D56:G56)</f>
        <v>59.2</v>
      </c>
      <c r="I56" s="99"/>
      <c r="J56" s="177"/>
      <c r="K56" s="99"/>
      <c r="L56" s="6"/>
      <c r="M56" s="27"/>
    </row>
    <row r="57" spans="1:13" ht="42" x14ac:dyDescent="0.2">
      <c r="A57" s="5" t="s">
        <v>104</v>
      </c>
      <c r="B57" s="33" t="s">
        <v>315</v>
      </c>
      <c r="C57" s="3" t="s">
        <v>43</v>
      </c>
      <c r="D57" s="3"/>
      <c r="E57" s="3"/>
      <c r="F57" s="3"/>
      <c r="G57" s="3"/>
      <c r="H57" s="14"/>
      <c r="I57" s="99">
        <v>8599.35</v>
      </c>
      <c r="J57" s="177">
        <v>6262.0466699999997</v>
      </c>
      <c r="K57" s="99">
        <f>I57*H57</f>
        <v>0</v>
      </c>
      <c r="L57" s="6"/>
      <c r="M57" s="27"/>
    </row>
    <row r="58" spans="1:13" ht="21" x14ac:dyDescent="0.2">
      <c r="A58" s="5" t="s">
        <v>106</v>
      </c>
      <c r="B58" s="33" t="s">
        <v>107</v>
      </c>
      <c r="C58" s="3"/>
      <c r="D58" s="3"/>
      <c r="E58" s="3"/>
      <c r="F58" s="3"/>
      <c r="G58" s="3"/>
      <c r="H58" s="14"/>
      <c r="I58" s="99"/>
      <c r="J58" s="177">
        <v>0</v>
      </c>
      <c r="K58" s="99">
        <f>I58*H58</f>
        <v>0</v>
      </c>
      <c r="L58" s="6"/>
      <c r="M58" s="27"/>
    </row>
    <row r="59" spans="1:13" ht="42" x14ac:dyDescent="0.2">
      <c r="A59" s="5" t="s">
        <v>108</v>
      </c>
      <c r="B59" s="33" t="s">
        <v>313</v>
      </c>
      <c r="C59" s="3" t="s">
        <v>43</v>
      </c>
      <c r="D59" s="3"/>
      <c r="E59" s="3"/>
      <c r="F59" s="3"/>
      <c r="G59" s="3" t="s">
        <v>309</v>
      </c>
      <c r="H59" s="14">
        <f>SUM(H60:H60)</f>
        <v>0</v>
      </c>
      <c r="I59" s="99">
        <v>10080.15</v>
      </c>
      <c r="J59" s="177">
        <v>6660.9631200000003</v>
      </c>
      <c r="K59" s="99">
        <f>I59*H59</f>
        <v>0</v>
      </c>
      <c r="L59" s="6"/>
      <c r="M59" s="27"/>
    </row>
    <row r="60" spans="1:13" ht="21" x14ac:dyDescent="0.2">
      <c r="A60" s="5"/>
      <c r="B60" s="33"/>
      <c r="C60" s="3"/>
      <c r="D60" s="3"/>
      <c r="E60" s="3"/>
      <c r="F60" s="3"/>
      <c r="G60" s="3"/>
      <c r="H60" s="14"/>
      <c r="I60" s="99"/>
      <c r="J60" s="177"/>
      <c r="K60" s="99"/>
      <c r="L60" s="6"/>
      <c r="M60" s="27"/>
    </row>
    <row r="61" spans="1:13" ht="42" x14ac:dyDescent="0.2">
      <c r="A61" s="5" t="s">
        <v>109</v>
      </c>
      <c r="B61" s="33" t="s">
        <v>315</v>
      </c>
      <c r="C61" s="3" t="s">
        <v>43</v>
      </c>
      <c r="D61" s="3"/>
      <c r="E61" s="3"/>
      <c r="F61" s="3"/>
      <c r="G61" s="3"/>
      <c r="H61" s="14"/>
      <c r="I61" s="99">
        <v>10221.700000000001</v>
      </c>
      <c r="J61" s="177">
        <v>6870.0045700000001</v>
      </c>
      <c r="K61" s="99">
        <f>I61*H61</f>
        <v>0</v>
      </c>
      <c r="L61" s="6"/>
      <c r="M61" s="27"/>
    </row>
    <row r="62" spans="1:13" ht="105" x14ac:dyDescent="0.2">
      <c r="A62" s="5">
        <v>5.22</v>
      </c>
      <c r="B62" s="33" t="s">
        <v>316</v>
      </c>
      <c r="C62" s="8"/>
      <c r="D62" s="8"/>
      <c r="E62" s="8"/>
      <c r="F62" s="8"/>
      <c r="G62" s="8"/>
      <c r="H62" s="14"/>
      <c r="I62" s="99"/>
      <c r="J62" s="177">
        <v>0</v>
      </c>
      <c r="K62" s="99">
        <f>I62*H62</f>
        <v>0</v>
      </c>
      <c r="L62" s="6"/>
      <c r="M62" s="27"/>
    </row>
    <row r="63" spans="1:13" ht="42" x14ac:dyDescent="0.2">
      <c r="A63" s="5" t="s">
        <v>110</v>
      </c>
      <c r="B63" s="33" t="s">
        <v>111</v>
      </c>
      <c r="C63" s="3" t="s">
        <v>112</v>
      </c>
      <c r="D63" s="3"/>
      <c r="E63" s="3"/>
      <c r="F63" s="3"/>
      <c r="G63" s="3" t="s">
        <v>309</v>
      </c>
      <c r="H63" s="35">
        <f>SUM(H64)</f>
        <v>6453.75</v>
      </c>
      <c r="I63" s="99">
        <v>89.65</v>
      </c>
      <c r="J63" s="177">
        <v>90.716835000000003</v>
      </c>
      <c r="K63" s="99">
        <f>I63*H63</f>
        <v>578578.6875</v>
      </c>
      <c r="L63" s="6"/>
      <c r="M63" s="27"/>
    </row>
    <row r="64" spans="1:13" ht="21" x14ac:dyDescent="0.2">
      <c r="A64" s="5"/>
      <c r="B64" s="33"/>
      <c r="C64" s="3"/>
      <c r="D64" s="3">
        <v>30</v>
      </c>
      <c r="E64" s="3"/>
      <c r="F64" s="6"/>
      <c r="G64" s="14">
        <f>H59+H53</f>
        <v>215.125</v>
      </c>
      <c r="H64" s="14">
        <f>PRODUCT(D64:G64)</f>
        <v>6453.75</v>
      </c>
      <c r="I64" s="99"/>
      <c r="J64" s="177"/>
      <c r="K64" s="99"/>
      <c r="L64" s="6"/>
      <c r="M64" s="27"/>
    </row>
    <row r="65" spans="1:13" ht="105" x14ac:dyDescent="0.2">
      <c r="A65" s="5">
        <v>4.7</v>
      </c>
      <c r="B65" s="33" t="s">
        <v>377</v>
      </c>
      <c r="C65" s="3"/>
      <c r="D65" s="3"/>
      <c r="E65" s="3" t="s">
        <v>378</v>
      </c>
      <c r="F65" s="3"/>
      <c r="G65" s="3"/>
      <c r="H65" s="35"/>
      <c r="I65" s="99"/>
      <c r="J65" s="177">
        <v>0</v>
      </c>
      <c r="K65" s="99">
        <f>I65*H65</f>
        <v>0</v>
      </c>
      <c r="L65" s="6"/>
      <c r="M65" s="27"/>
    </row>
    <row r="66" spans="1:13" ht="63" customHeight="1" x14ac:dyDescent="0.2">
      <c r="A66" s="5" t="s">
        <v>116</v>
      </c>
      <c r="B66" s="33" t="s">
        <v>364</v>
      </c>
      <c r="C66" s="3" t="s">
        <v>43</v>
      </c>
      <c r="D66" s="3"/>
      <c r="E66" s="3"/>
      <c r="F66" s="3"/>
      <c r="G66" s="3" t="s">
        <v>309</v>
      </c>
      <c r="H66" s="14">
        <f>SUM(H67:H68)</f>
        <v>17.220000000000002</v>
      </c>
      <c r="I66" s="99">
        <v>15762.45</v>
      </c>
      <c r="J66" s="177">
        <v>8448.6731999999993</v>
      </c>
      <c r="K66" s="99">
        <f>I66*H66</f>
        <v>271429.38900000002</v>
      </c>
      <c r="L66" s="6"/>
      <c r="M66" s="27"/>
    </row>
    <row r="67" spans="1:13" ht="21" x14ac:dyDescent="0.2">
      <c r="A67" s="5"/>
      <c r="B67" s="33" t="s">
        <v>379</v>
      </c>
      <c r="C67" s="3"/>
      <c r="D67" s="3">
        <v>1</v>
      </c>
      <c r="E67" s="3">
        <f>13+13+26+26</f>
        <v>78</v>
      </c>
      <c r="F67" s="3">
        <v>0.2</v>
      </c>
      <c r="G67" s="3">
        <v>0.45</v>
      </c>
      <c r="H67" s="14">
        <f>PRODUCT(D67:G67)</f>
        <v>7.0200000000000005</v>
      </c>
      <c r="I67" s="99"/>
      <c r="J67" s="177"/>
      <c r="K67" s="99"/>
      <c r="L67" s="6"/>
      <c r="M67" s="27"/>
    </row>
    <row r="68" spans="1:13" ht="21" x14ac:dyDescent="0.2">
      <c r="A68" s="5"/>
      <c r="B68" s="33"/>
      <c r="C68" s="3"/>
      <c r="D68" s="3"/>
      <c r="E68" s="2">
        <f>E55*2</f>
        <v>85</v>
      </c>
      <c r="F68" s="2">
        <v>0.15</v>
      </c>
      <c r="G68" s="3">
        <v>0.8</v>
      </c>
      <c r="H68" s="14">
        <f>PRODUCT(D68:G68)</f>
        <v>10.200000000000001</v>
      </c>
      <c r="I68" s="99"/>
      <c r="J68" s="177"/>
      <c r="K68" s="99"/>
      <c r="L68" s="6"/>
      <c r="M68" s="27"/>
    </row>
    <row r="69" spans="1:13" ht="21" x14ac:dyDescent="0.2">
      <c r="A69" s="5"/>
      <c r="B69" s="33"/>
      <c r="C69" s="3"/>
      <c r="D69" s="3"/>
      <c r="E69" s="3"/>
      <c r="F69" s="3"/>
      <c r="G69" s="3"/>
      <c r="H69" s="14"/>
      <c r="I69" s="99"/>
      <c r="J69" s="177"/>
      <c r="K69" s="99"/>
      <c r="L69" s="6"/>
      <c r="M69" s="27"/>
    </row>
    <row r="70" spans="1:13" ht="105" x14ac:dyDescent="0.2">
      <c r="A70" s="5">
        <v>6.13</v>
      </c>
      <c r="B70" s="33" t="s">
        <v>380</v>
      </c>
      <c r="C70" s="3" t="s">
        <v>73</v>
      </c>
      <c r="D70" s="3"/>
      <c r="E70" s="3"/>
      <c r="F70" s="3"/>
      <c r="G70" s="3"/>
      <c r="H70" s="14"/>
      <c r="I70" s="99"/>
      <c r="J70" s="177"/>
      <c r="K70" s="99">
        <f>I70*H70</f>
        <v>0</v>
      </c>
      <c r="L70" s="6"/>
      <c r="M70" s="27"/>
    </row>
    <row r="71" spans="1:13" ht="21" x14ac:dyDescent="0.2">
      <c r="A71" s="5" t="s">
        <v>119</v>
      </c>
      <c r="B71" s="33" t="s">
        <v>120</v>
      </c>
      <c r="C71" s="3" t="s">
        <v>73</v>
      </c>
      <c r="D71" s="3"/>
      <c r="E71" s="3"/>
      <c r="F71" s="3"/>
      <c r="G71" s="3"/>
      <c r="H71" s="14"/>
      <c r="I71" s="99">
        <v>1018.05</v>
      </c>
      <c r="J71" s="177">
        <v>1128.915645</v>
      </c>
      <c r="K71" s="99">
        <f>I71*H71</f>
        <v>0</v>
      </c>
      <c r="L71" s="6"/>
      <c r="M71" s="27"/>
    </row>
    <row r="72" spans="1:13" ht="202.5" x14ac:dyDescent="0.2">
      <c r="A72" s="5">
        <v>13</v>
      </c>
      <c r="B72" s="15" t="s">
        <v>121</v>
      </c>
      <c r="C72" s="3"/>
      <c r="D72" s="3"/>
      <c r="E72" s="3"/>
      <c r="F72" s="3"/>
      <c r="G72" s="3"/>
      <c r="H72" s="14"/>
      <c r="I72" s="99"/>
      <c r="J72" s="177">
        <v>0</v>
      </c>
      <c r="K72" s="99">
        <f>I72*H72</f>
        <v>0</v>
      </c>
      <c r="L72" s="6"/>
      <c r="M72" s="27"/>
    </row>
    <row r="73" spans="1:13" ht="21" x14ac:dyDescent="0.2">
      <c r="A73" s="5">
        <v>13.1</v>
      </c>
      <c r="B73" s="33" t="s">
        <v>122</v>
      </c>
      <c r="C73" s="3"/>
      <c r="D73" s="3"/>
      <c r="E73" s="3"/>
      <c r="F73" s="3"/>
      <c r="G73" s="3"/>
      <c r="H73" s="14"/>
      <c r="I73" s="99"/>
      <c r="J73" s="177">
        <v>0</v>
      </c>
      <c r="K73" s="99">
        <f>I73*H73</f>
        <v>0</v>
      </c>
      <c r="L73" s="6"/>
      <c r="M73" s="27"/>
    </row>
    <row r="74" spans="1:13" ht="21" x14ac:dyDescent="0.2">
      <c r="A74" s="5" t="s">
        <v>123</v>
      </c>
      <c r="B74" s="33" t="s">
        <v>124</v>
      </c>
      <c r="C74" s="3" t="s">
        <v>73</v>
      </c>
      <c r="D74" s="3"/>
      <c r="E74" s="3"/>
      <c r="F74" s="3"/>
      <c r="G74" s="3" t="s">
        <v>309</v>
      </c>
      <c r="H74" s="14">
        <f>SUM(H75:H76)</f>
        <v>206.2</v>
      </c>
      <c r="I74" s="99">
        <v>294.85000000000002</v>
      </c>
      <c r="J74" s="177">
        <v>478.24669999999998</v>
      </c>
      <c r="K74" s="99">
        <f>I74*H74</f>
        <v>60798.07</v>
      </c>
      <c r="L74" s="6"/>
      <c r="M74" s="27"/>
    </row>
    <row r="75" spans="1:13" ht="21" x14ac:dyDescent="0.2">
      <c r="A75" s="5"/>
      <c r="B75" s="33" t="str">
        <f>B67</f>
        <v xml:space="preserve">OUTER PERIFERI </v>
      </c>
      <c r="C75" s="3"/>
      <c r="D75" s="33">
        <f>D67</f>
        <v>1</v>
      </c>
      <c r="E75" s="33">
        <f>E67</f>
        <v>78</v>
      </c>
      <c r="F75" s="3">
        <v>2</v>
      </c>
      <c r="G75" s="33">
        <f>G67</f>
        <v>0.45</v>
      </c>
      <c r="H75" s="14">
        <f>PRODUCT(D75:G75)</f>
        <v>70.2</v>
      </c>
      <c r="I75" s="99"/>
      <c r="J75" s="177"/>
      <c r="K75" s="99"/>
      <c r="L75" s="6"/>
      <c r="M75" s="27"/>
    </row>
    <row r="76" spans="1:13" ht="21" x14ac:dyDescent="0.2">
      <c r="A76" s="5"/>
      <c r="B76" s="33"/>
      <c r="C76" s="3"/>
      <c r="D76" s="33"/>
      <c r="E76" s="33">
        <f>E68</f>
        <v>85</v>
      </c>
      <c r="F76" s="3">
        <v>2</v>
      </c>
      <c r="G76" s="33">
        <f>G68</f>
        <v>0.8</v>
      </c>
      <c r="H76" s="14">
        <f>PRODUCT(D76:G76)</f>
        <v>136</v>
      </c>
      <c r="I76" s="99"/>
      <c r="J76" s="177"/>
      <c r="K76" s="99"/>
      <c r="L76" s="6"/>
      <c r="M76" s="27"/>
    </row>
    <row r="77" spans="1:13" ht="21" x14ac:dyDescent="0.2">
      <c r="A77" s="5"/>
      <c r="B77" s="33"/>
      <c r="C77" s="3"/>
      <c r="D77" s="33"/>
      <c r="E77" s="33"/>
      <c r="F77" s="3"/>
      <c r="G77" s="33"/>
      <c r="H77" s="14"/>
      <c r="I77" s="99"/>
      <c r="J77" s="177"/>
      <c r="K77" s="99"/>
      <c r="L77" s="6"/>
      <c r="M77" s="27"/>
    </row>
    <row r="78" spans="1:13" ht="182.25" x14ac:dyDescent="0.2">
      <c r="A78" s="332"/>
      <c r="B78" s="334" t="s">
        <v>125</v>
      </c>
      <c r="C78" s="332"/>
      <c r="D78" s="33"/>
      <c r="E78" s="33"/>
      <c r="F78" s="3"/>
      <c r="G78" s="33"/>
      <c r="H78" s="14"/>
      <c r="I78" s="99"/>
      <c r="J78" s="177"/>
      <c r="K78" s="99"/>
      <c r="L78" s="6"/>
      <c r="M78" s="27"/>
    </row>
    <row r="79" spans="1:13" ht="21" x14ac:dyDescent="0.2">
      <c r="A79" s="332">
        <v>13.3</v>
      </c>
      <c r="B79" s="335" t="s">
        <v>126</v>
      </c>
      <c r="C79" s="332"/>
      <c r="D79" s="33"/>
      <c r="E79" s="33"/>
      <c r="F79" s="3"/>
      <c r="G79" s="33"/>
      <c r="H79" s="14">
        <f>H74</f>
        <v>206.2</v>
      </c>
      <c r="I79" s="99">
        <v>402.15</v>
      </c>
      <c r="J79" s="177"/>
      <c r="K79" s="99">
        <f>I79*H79</f>
        <v>82923.329999999987</v>
      </c>
      <c r="L79" s="6"/>
      <c r="M79" s="27"/>
    </row>
    <row r="80" spans="1:13" ht="21" x14ac:dyDescent="0.2">
      <c r="A80" s="332" t="s">
        <v>127</v>
      </c>
      <c r="B80" s="333" t="s">
        <v>124</v>
      </c>
      <c r="C80" s="332" t="s">
        <v>73</v>
      </c>
      <c r="D80" s="33"/>
      <c r="E80" s="33"/>
      <c r="F80" s="3"/>
      <c r="G80" s="33"/>
      <c r="H80" s="14"/>
      <c r="I80" s="99"/>
      <c r="J80" s="177"/>
      <c r="K80" s="99"/>
      <c r="L80" s="6"/>
      <c r="M80" s="27"/>
    </row>
    <row r="81" spans="1:13" ht="21" x14ac:dyDescent="0.2">
      <c r="A81" s="5"/>
      <c r="B81" s="33"/>
      <c r="C81" s="3"/>
      <c r="D81" s="33"/>
      <c r="E81" s="33"/>
      <c r="F81" s="3"/>
      <c r="G81" s="33"/>
      <c r="H81" s="14"/>
      <c r="I81" s="99"/>
      <c r="J81" s="177"/>
      <c r="K81" s="99"/>
      <c r="L81" s="6"/>
      <c r="M81" s="27"/>
    </row>
    <row r="82" spans="1:13" ht="231" x14ac:dyDescent="0.2">
      <c r="A82" s="68" t="s">
        <v>207</v>
      </c>
      <c r="B82" s="33" t="s">
        <v>208</v>
      </c>
      <c r="C82" s="3"/>
      <c r="D82" s="3"/>
      <c r="E82" s="3"/>
      <c r="F82" s="3"/>
      <c r="G82" s="3"/>
      <c r="H82" s="8"/>
      <c r="I82" s="99"/>
      <c r="J82" s="177"/>
      <c r="K82" s="99">
        <f>I82*H82</f>
        <v>0</v>
      </c>
      <c r="L82" s="6"/>
      <c r="M82" s="27"/>
    </row>
    <row r="83" spans="1:13" ht="21" x14ac:dyDescent="0.2">
      <c r="A83" s="69"/>
      <c r="B83" s="33"/>
      <c r="C83" s="3" t="s">
        <v>112</v>
      </c>
      <c r="D83" s="3"/>
      <c r="E83" s="3"/>
      <c r="F83" s="3"/>
      <c r="G83" s="3" t="s">
        <v>309</v>
      </c>
      <c r="H83" s="8">
        <f>H84*20</f>
        <v>6760</v>
      </c>
      <c r="I83" s="99">
        <v>120</v>
      </c>
      <c r="J83" s="177">
        <v>147.84</v>
      </c>
      <c r="K83" s="99">
        <f>I83*H83</f>
        <v>811200</v>
      </c>
      <c r="L83" s="6"/>
      <c r="M83" s="27"/>
    </row>
    <row r="84" spans="1:13" ht="21" x14ac:dyDescent="0.2">
      <c r="A84" s="69"/>
      <c r="B84" s="33"/>
      <c r="C84" s="3"/>
      <c r="D84" s="3">
        <v>1</v>
      </c>
      <c r="E84" s="3">
        <v>26</v>
      </c>
      <c r="F84" s="3">
        <v>13</v>
      </c>
      <c r="G84" s="3"/>
      <c r="H84" s="8">
        <f>PRODUCT(D84:G84)</f>
        <v>338</v>
      </c>
      <c r="I84" s="99"/>
      <c r="J84" s="177"/>
      <c r="K84" s="99"/>
      <c r="L84" s="6"/>
      <c r="M84" s="27"/>
    </row>
    <row r="85" spans="1:13" ht="21" x14ac:dyDescent="0.2">
      <c r="A85" s="71">
        <v>5774</v>
      </c>
      <c r="B85" s="33" t="s">
        <v>210</v>
      </c>
      <c r="C85" s="3" t="s">
        <v>211</v>
      </c>
      <c r="D85" s="3"/>
      <c r="E85" s="3"/>
      <c r="F85" s="3"/>
      <c r="G85" s="3"/>
      <c r="H85" s="8">
        <v>50</v>
      </c>
      <c r="I85" s="99">
        <v>20</v>
      </c>
      <c r="J85" s="177">
        <v>28</v>
      </c>
      <c r="K85" s="99">
        <f t="shared" ref="K85:K92" si="2">I85*H85</f>
        <v>1000</v>
      </c>
      <c r="L85" s="6"/>
      <c r="M85" s="27"/>
    </row>
    <row r="86" spans="1:13" ht="23.25" x14ac:dyDescent="0.2">
      <c r="A86" s="139">
        <v>1034</v>
      </c>
      <c r="B86" s="140" t="s">
        <v>205</v>
      </c>
      <c r="C86" s="141" t="s">
        <v>206</v>
      </c>
      <c r="D86" s="141"/>
      <c r="E86" s="142"/>
      <c r="F86" s="3"/>
      <c r="G86" s="3">
        <v>1</v>
      </c>
      <c r="H86" s="14">
        <v>0.2</v>
      </c>
      <c r="I86" s="179">
        <v>5200</v>
      </c>
      <c r="J86" s="177"/>
      <c r="K86" s="99">
        <f t="shared" si="2"/>
        <v>1040</v>
      </c>
      <c r="L86" s="6"/>
      <c r="M86" s="27"/>
    </row>
    <row r="87" spans="1:13" ht="168" x14ac:dyDescent="0.2">
      <c r="A87" s="70" t="s">
        <v>70</v>
      </c>
      <c r="B87" s="33" t="s">
        <v>212</v>
      </c>
      <c r="C87" s="1"/>
      <c r="D87" s="1"/>
      <c r="E87" s="1"/>
      <c r="F87" s="1"/>
      <c r="G87" s="1"/>
      <c r="H87" s="14"/>
      <c r="I87" s="99"/>
      <c r="J87" s="177"/>
      <c r="K87" s="99">
        <f t="shared" si="2"/>
        <v>0</v>
      </c>
      <c r="L87" s="6"/>
      <c r="M87" s="27"/>
    </row>
    <row r="88" spans="1:13" ht="21" x14ac:dyDescent="0.2">
      <c r="A88" s="70"/>
      <c r="B88" s="33" t="s">
        <v>213</v>
      </c>
      <c r="C88" s="1" t="s">
        <v>147</v>
      </c>
      <c r="D88" s="1"/>
      <c r="E88" s="1">
        <v>25</v>
      </c>
      <c r="F88" s="1"/>
      <c r="G88" s="1"/>
      <c r="H88" s="14"/>
      <c r="I88" s="99">
        <v>320</v>
      </c>
      <c r="J88" s="177">
        <v>557.76</v>
      </c>
      <c r="K88" s="99">
        <f t="shared" si="2"/>
        <v>0</v>
      </c>
      <c r="L88" s="6"/>
      <c r="M88" s="27"/>
    </row>
    <row r="89" spans="1:13" ht="21" x14ac:dyDescent="0.2">
      <c r="A89" s="70"/>
      <c r="B89" s="33" t="s">
        <v>214</v>
      </c>
      <c r="C89" s="1" t="s">
        <v>147</v>
      </c>
      <c r="D89" s="1"/>
      <c r="E89" s="1"/>
      <c r="F89" s="1"/>
      <c r="G89" s="1"/>
      <c r="H89" s="14"/>
      <c r="I89" s="99">
        <v>284</v>
      </c>
      <c r="J89" s="177">
        <v>557.74760000000003</v>
      </c>
      <c r="K89" s="99">
        <f t="shared" si="2"/>
        <v>0</v>
      </c>
      <c r="L89" s="6"/>
      <c r="M89" s="27"/>
    </row>
    <row r="90" spans="1:13" ht="21" x14ac:dyDescent="0.2">
      <c r="A90" s="70"/>
      <c r="B90" s="33" t="s">
        <v>215</v>
      </c>
      <c r="C90" s="1" t="s">
        <v>147</v>
      </c>
      <c r="D90" s="1"/>
      <c r="E90" s="1">
        <v>50</v>
      </c>
      <c r="F90" s="1"/>
      <c r="G90" s="1"/>
      <c r="H90" s="14">
        <f>E90</f>
        <v>50</v>
      </c>
      <c r="I90" s="99">
        <v>781</v>
      </c>
      <c r="J90" s="177">
        <v>798.57249999999999</v>
      </c>
      <c r="K90" s="99">
        <f t="shared" si="2"/>
        <v>39050</v>
      </c>
      <c r="L90" s="6"/>
      <c r="M90" s="27"/>
    </row>
    <row r="91" spans="1:13" ht="81" x14ac:dyDescent="0.2">
      <c r="A91" s="70" t="s">
        <v>70</v>
      </c>
      <c r="B91" s="11" t="s">
        <v>216</v>
      </c>
      <c r="C91" s="12" t="s">
        <v>201</v>
      </c>
      <c r="D91" s="12">
        <v>1</v>
      </c>
      <c r="E91" s="12">
        <v>26</v>
      </c>
      <c r="F91" s="12">
        <v>13</v>
      </c>
      <c r="G91" s="12"/>
      <c r="H91" s="14">
        <f>PRODUCT(D91:G91)</f>
        <v>338</v>
      </c>
      <c r="I91" s="99">
        <v>680</v>
      </c>
      <c r="J91" s="177">
        <f>I91</f>
        <v>680</v>
      </c>
      <c r="K91" s="99">
        <f t="shared" si="2"/>
        <v>229840</v>
      </c>
      <c r="L91" s="6"/>
      <c r="M91" s="27"/>
    </row>
    <row r="92" spans="1:13" ht="23.25" x14ac:dyDescent="0.2">
      <c r="A92" s="139">
        <v>1034</v>
      </c>
      <c r="B92" s="140" t="s">
        <v>205</v>
      </c>
      <c r="C92" s="141" t="s">
        <v>206</v>
      </c>
      <c r="D92" s="141"/>
      <c r="E92" s="141"/>
      <c r="F92" s="141"/>
      <c r="G92" s="141"/>
      <c r="H92" s="141">
        <v>0.1</v>
      </c>
      <c r="I92" s="200">
        <v>5200</v>
      </c>
      <c r="J92" s="200">
        <f>I92*H92</f>
        <v>520</v>
      </c>
      <c r="K92" s="99">
        <f t="shared" si="2"/>
        <v>520</v>
      </c>
      <c r="L92" s="6"/>
      <c r="M92" s="27"/>
    </row>
    <row r="93" spans="1:13" ht="21" x14ac:dyDescent="0.2">
      <c r="A93" s="5"/>
      <c r="B93" s="33"/>
      <c r="C93" s="3"/>
      <c r="D93" s="3"/>
      <c r="E93" s="3"/>
      <c r="F93" s="6"/>
      <c r="G93" s="14"/>
      <c r="H93" s="14"/>
      <c r="I93" s="99"/>
      <c r="J93" s="177"/>
      <c r="K93" s="99"/>
      <c r="L93" s="6"/>
      <c r="M93" s="27"/>
    </row>
    <row r="94" spans="1:13" ht="20.25" x14ac:dyDescent="0.3">
      <c r="A94" s="557"/>
      <c r="B94" s="557"/>
      <c r="C94" s="557"/>
      <c r="D94" s="557"/>
      <c r="E94" s="557"/>
      <c r="F94" s="557"/>
      <c r="G94" s="557"/>
      <c r="H94" s="557"/>
      <c r="I94" s="557"/>
      <c r="J94" s="180"/>
      <c r="K94" s="99">
        <f>SUM(K7:K92)</f>
        <v>4472029.7136000004</v>
      </c>
      <c r="L94" s="48"/>
      <c r="M94" s="27"/>
    </row>
    <row r="95" spans="1:13" ht="20.25" x14ac:dyDescent="0.2">
      <c r="A95" s="50"/>
      <c r="B95" s="51"/>
      <c r="C95" s="50"/>
      <c r="D95" s="50"/>
      <c r="E95" s="50"/>
      <c r="F95" s="50"/>
      <c r="G95" s="50"/>
      <c r="H95" s="52"/>
      <c r="I95" s="171"/>
      <c r="J95" s="181"/>
      <c r="K95" s="165"/>
      <c r="L95" s="6"/>
      <c r="M95" s="53"/>
    </row>
    <row r="96" spans="1:13" x14ac:dyDescent="0.2">
      <c r="M96" s="57"/>
    </row>
    <row r="97" spans="1:13" x14ac:dyDescent="0.2">
      <c r="M97" s="57"/>
    </row>
    <row r="98" spans="1:13" x14ac:dyDescent="0.2">
      <c r="M98" s="57"/>
    </row>
    <row r="99" spans="1:13" x14ac:dyDescent="0.2">
      <c r="M99" s="57"/>
    </row>
    <row r="100" spans="1:13" x14ac:dyDescent="0.2">
      <c r="M100" s="57"/>
    </row>
    <row r="101" spans="1:13" x14ac:dyDescent="0.2">
      <c r="M101" s="57"/>
    </row>
    <row r="102" spans="1:13" x14ac:dyDescent="0.2">
      <c r="M102" s="57"/>
    </row>
    <row r="103" spans="1:13" x14ac:dyDescent="0.2">
      <c r="M103" s="57"/>
    </row>
    <row r="104" spans="1:13" x14ac:dyDescent="0.2">
      <c r="M104" s="57"/>
    </row>
    <row r="105" spans="1:13" x14ac:dyDescent="0.2">
      <c r="A105" s="59"/>
      <c r="B105" s="60"/>
      <c r="C105" s="59"/>
      <c r="D105" s="59"/>
      <c r="E105" s="59"/>
      <c r="F105" s="59"/>
      <c r="G105" s="59"/>
      <c r="H105" s="61"/>
      <c r="I105" s="167"/>
      <c r="J105" s="183"/>
      <c r="K105" s="167"/>
      <c r="L105" s="59"/>
      <c r="M105" s="62"/>
    </row>
  </sheetData>
  <protectedRanges>
    <protectedRange sqref="M2" name="Range1"/>
  </protectedRanges>
  <mergeCells count="7">
    <mergeCell ref="B34:B35"/>
    <mergeCell ref="A94:I94"/>
    <mergeCell ref="A1:M1"/>
    <mergeCell ref="B2:K2"/>
    <mergeCell ref="L2:M2"/>
    <mergeCell ref="A3:M3"/>
    <mergeCell ref="A4:M4"/>
  </mergeCells>
  <phoneticPr fontId="1" type="noConversion"/>
  <conditionalFormatting sqref="B27">
    <cfRule type="cellIs" dxfId="27" priority="10" stopIfTrue="1" operator="equal">
      <formula>#REF!</formula>
    </cfRule>
  </conditionalFormatting>
  <conditionalFormatting sqref="B78">
    <cfRule type="cellIs" dxfId="26" priority="1" stopIfTrue="1" operator="equal">
      <formula>#REF!</formula>
    </cfRule>
  </conditionalFormatting>
  <conditionalFormatting sqref="B86">
    <cfRule type="cellIs" dxfId="25" priority="4" stopIfTrue="1" operator="equal">
      <formula>#REF!</formula>
    </cfRule>
  </conditionalFormatting>
  <conditionalFormatting sqref="B91">
    <cfRule type="cellIs" dxfId="24" priority="6" stopIfTrue="1" operator="equal">
      <formula>#REF!</formula>
    </cfRule>
  </conditionalFormatting>
  <conditionalFormatting sqref="B92">
    <cfRule type="cellIs" dxfId="23" priority="2" stopIfTrue="1" operator="equal">
      <formula>#REF!</formula>
    </cfRule>
  </conditionalFormatting>
  <conditionalFormatting sqref="C87:G90">
    <cfRule type="cellIs" dxfId="22" priority="7" stopIfTrue="1" operator="equal">
      <formula>#REF!</formula>
    </cfRule>
  </conditionalFormatting>
  <pageMargins left="0.7" right="0.7" top="0.75" bottom="0.75" header="0.3" footer="0.3"/>
  <pageSetup scale="31"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M69"/>
  <sheetViews>
    <sheetView view="pageBreakPreview" zoomScale="70" zoomScaleNormal="70" workbookViewId="0">
      <pane ySplit="4" topLeftCell="A5" activePane="bottomLeft" state="frozen"/>
      <selection pane="bottomLeft" activeCell="I8" sqref="I8"/>
    </sheetView>
  </sheetViews>
  <sheetFormatPr defaultColWidth="9.140625" defaultRowHeight="12.75" x14ac:dyDescent="0.2"/>
  <cols>
    <col min="1" max="1" width="13.85546875" style="7" customWidth="1"/>
    <col min="2" max="2" width="76.28515625" style="55" customWidth="1"/>
    <col min="3" max="7" width="14.42578125" style="7" customWidth="1"/>
    <col min="8" max="8" width="21.85546875" style="56" customWidth="1"/>
    <col min="9" max="9" width="15.7109375" style="166" customWidth="1"/>
    <col min="10" max="10" width="15" style="182" hidden="1" customWidth="1"/>
    <col min="11" max="11" width="26.42578125" style="166" customWidth="1"/>
    <col min="12" max="12" width="23.85546875" style="7" customWidth="1"/>
    <col min="13" max="13" width="40.7109375" style="7" customWidth="1"/>
    <col min="14" max="14" width="9.140625" style="7" customWidth="1"/>
    <col min="15" max="16384" width="9.140625" style="7"/>
  </cols>
  <sheetData>
    <row r="1" spans="1:13" ht="195.75" customHeight="1" x14ac:dyDescent="0.2">
      <c r="A1" s="559"/>
      <c r="B1" s="559"/>
      <c r="C1" s="559"/>
      <c r="D1" s="559"/>
      <c r="E1" s="559"/>
      <c r="F1" s="559"/>
      <c r="G1" s="559"/>
      <c r="H1" s="559"/>
      <c r="I1" s="559"/>
      <c r="J1" s="559"/>
      <c r="K1" s="559"/>
      <c r="L1" s="559"/>
      <c r="M1" s="560"/>
    </row>
    <row r="2" spans="1:13" ht="54" customHeight="1" x14ac:dyDescent="0.2">
      <c r="A2" s="162"/>
      <c r="B2" s="563" t="s">
        <v>13</v>
      </c>
      <c r="C2" s="564"/>
      <c r="D2" s="564"/>
      <c r="E2" s="564"/>
      <c r="F2" s="564"/>
      <c r="G2" s="564"/>
      <c r="H2" s="564"/>
      <c r="I2" s="564"/>
      <c r="J2" s="564"/>
      <c r="K2" s="565"/>
      <c r="L2" s="566" t="s">
        <v>14</v>
      </c>
      <c r="M2" s="567"/>
    </row>
    <row r="3" spans="1:13" ht="37.5" customHeight="1" x14ac:dyDescent="0.2">
      <c r="A3" s="554"/>
      <c r="B3" s="554"/>
      <c r="C3" s="554"/>
      <c r="D3" s="554"/>
      <c r="E3" s="554"/>
      <c r="F3" s="554"/>
      <c r="G3" s="554"/>
      <c r="H3" s="554"/>
      <c r="I3" s="554"/>
      <c r="J3" s="554"/>
      <c r="K3" s="554"/>
      <c r="L3" s="554"/>
      <c r="M3" s="555"/>
    </row>
    <row r="4" spans="1:13" ht="60.75" x14ac:dyDescent="0.2">
      <c r="A4" s="64" t="s">
        <v>17</v>
      </c>
      <c r="B4" s="18" t="s">
        <v>18</v>
      </c>
      <c r="C4" s="19" t="s">
        <v>19</v>
      </c>
      <c r="D4" s="20" t="s">
        <v>180</v>
      </c>
      <c r="E4" s="20" t="s">
        <v>302</v>
      </c>
      <c r="F4" s="20" t="s">
        <v>303</v>
      </c>
      <c r="G4" s="20" t="s">
        <v>304</v>
      </c>
      <c r="H4" s="21" t="s">
        <v>305</v>
      </c>
      <c r="I4" s="170" t="s">
        <v>37</v>
      </c>
      <c r="J4" s="175" t="s">
        <v>306</v>
      </c>
      <c r="K4" s="21" t="s">
        <v>38</v>
      </c>
      <c r="L4" s="22" t="s">
        <v>39</v>
      </c>
      <c r="M4" s="23" t="s">
        <v>40</v>
      </c>
    </row>
    <row r="5" spans="1:13" ht="22.5" x14ac:dyDescent="0.2">
      <c r="A5" s="65"/>
      <c r="B5" s="25"/>
      <c r="C5" s="20"/>
      <c r="D5" s="20"/>
      <c r="E5" s="20"/>
      <c r="F5" s="20"/>
      <c r="G5" s="20"/>
      <c r="H5" s="26"/>
      <c r="I5" s="101"/>
      <c r="J5" s="176"/>
      <c r="K5" s="26"/>
      <c r="L5" s="6"/>
      <c r="M5" s="27"/>
    </row>
    <row r="6" spans="1:13" ht="147" customHeight="1" x14ac:dyDescent="0.2">
      <c r="A6" s="5">
        <v>2.6</v>
      </c>
      <c r="B6" s="33" t="s">
        <v>41</v>
      </c>
      <c r="C6" s="3"/>
      <c r="D6" s="3"/>
      <c r="E6" s="3"/>
      <c r="F6" s="3"/>
      <c r="G6" s="3"/>
      <c r="H6" s="14"/>
      <c r="I6" s="99"/>
      <c r="J6" s="177"/>
      <c r="K6" s="99"/>
      <c r="L6" s="6"/>
      <c r="M6" s="27"/>
    </row>
    <row r="7" spans="1:13" ht="21" x14ac:dyDescent="0.2">
      <c r="A7" s="5"/>
      <c r="B7" s="33" t="s">
        <v>42</v>
      </c>
      <c r="C7" s="3" t="s">
        <v>43</v>
      </c>
      <c r="D7" s="3"/>
      <c r="E7" s="3"/>
      <c r="F7" s="3"/>
      <c r="G7" s="3"/>
      <c r="H7" s="14">
        <f>SUM(H8:H9)</f>
        <v>517.25</v>
      </c>
      <c r="I7" s="99">
        <v>205.45</v>
      </c>
      <c r="J7" s="177">
        <v>215.04451499999999</v>
      </c>
      <c r="K7" s="99">
        <f>I7*H7</f>
        <v>106269.0125</v>
      </c>
      <c r="L7" s="6"/>
      <c r="M7" s="27"/>
    </row>
    <row r="8" spans="1:13" ht="21" x14ac:dyDescent="0.2">
      <c r="A8" s="5"/>
      <c r="B8" s="33"/>
      <c r="C8" s="3"/>
      <c r="D8" s="14">
        <f>500/8</f>
        <v>62.5</v>
      </c>
      <c r="E8" s="14">
        <f>2.3+0.6</f>
        <v>2.9</v>
      </c>
      <c r="F8" s="14">
        <f>2.3+0.6</f>
        <v>2.9</v>
      </c>
      <c r="G8" s="14">
        <v>2</v>
      </c>
      <c r="H8" s="14">
        <f>PRODUCT(D8:G8)-534</f>
        <v>517.25</v>
      </c>
      <c r="I8" s="99"/>
      <c r="J8" s="177"/>
      <c r="K8" s="99"/>
      <c r="L8" s="6"/>
      <c r="M8" s="27"/>
    </row>
    <row r="9" spans="1:13" ht="21" x14ac:dyDescent="0.2">
      <c r="A9" s="5"/>
      <c r="B9" s="33"/>
      <c r="C9" s="3"/>
      <c r="D9" s="14"/>
      <c r="E9" s="14"/>
      <c r="F9" s="14"/>
      <c r="G9" s="14"/>
      <c r="H9" s="14"/>
      <c r="I9" s="99"/>
      <c r="J9" s="177"/>
      <c r="K9" s="99"/>
      <c r="L9" s="6"/>
      <c r="M9" s="27"/>
    </row>
    <row r="10" spans="1:13" ht="126" customHeight="1" x14ac:dyDescent="0.2">
      <c r="A10" s="5">
        <v>2.7</v>
      </c>
      <c r="B10" s="33" t="s">
        <v>44</v>
      </c>
      <c r="C10" s="3"/>
      <c r="D10" s="3"/>
      <c r="E10" s="3"/>
      <c r="F10" s="3"/>
      <c r="G10" s="14"/>
      <c r="H10" s="14"/>
      <c r="I10" s="99"/>
      <c r="J10" s="99">
        <v>0</v>
      </c>
      <c r="K10" s="99">
        <f t="shared" ref="K10:K18" si="0">I10*H10</f>
        <v>0</v>
      </c>
      <c r="L10" s="6"/>
      <c r="M10" s="27"/>
    </row>
    <row r="11" spans="1:13" ht="39" customHeight="1" x14ac:dyDescent="0.2">
      <c r="A11" s="5" t="s">
        <v>45</v>
      </c>
      <c r="B11" s="33" t="s">
        <v>46</v>
      </c>
      <c r="C11" s="3" t="s">
        <v>43</v>
      </c>
      <c r="D11" s="3"/>
      <c r="E11" s="3"/>
      <c r="F11" s="3"/>
      <c r="G11" s="3"/>
      <c r="H11" s="14">
        <v>534</v>
      </c>
      <c r="I11" s="99">
        <v>412.95</v>
      </c>
      <c r="J11" s="177">
        <v>215.023065</v>
      </c>
      <c r="K11" s="99">
        <f t="shared" si="0"/>
        <v>220515.3</v>
      </c>
      <c r="L11" s="6"/>
      <c r="M11" s="27"/>
    </row>
    <row r="12" spans="1:13" ht="60.75" x14ac:dyDescent="0.2">
      <c r="A12" s="29">
        <v>2.2599999999999998</v>
      </c>
      <c r="B12" s="30" t="s">
        <v>47</v>
      </c>
      <c r="C12" s="31"/>
      <c r="D12" s="31"/>
      <c r="E12" s="31"/>
      <c r="F12" s="31"/>
      <c r="G12" s="31"/>
      <c r="H12" s="14"/>
      <c r="I12" s="99"/>
      <c r="J12" s="177">
        <v>0</v>
      </c>
      <c r="K12" s="99">
        <f t="shared" si="0"/>
        <v>0</v>
      </c>
      <c r="L12" s="6"/>
      <c r="M12" s="27"/>
    </row>
    <row r="13" spans="1:13" ht="20.25" x14ac:dyDescent="0.2">
      <c r="A13" s="29" t="s">
        <v>48</v>
      </c>
      <c r="B13" s="30" t="s">
        <v>49</v>
      </c>
      <c r="C13" s="31" t="s">
        <v>50</v>
      </c>
      <c r="D13" s="143">
        <f>D8</f>
        <v>62.5</v>
      </c>
      <c r="E13" s="143">
        <f>E8</f>
        <v>2.9</v>
      </c>
      <c r="F13" s="143">
        <f>F8</f>
        <v>2.9</v>
      </c>
      <c r="G13" s="31">
        <v>0.5</v>
      </c>
      <c r="H13" s="14">
        <f>PRODUCT(D13:G13)</f>
        <v>262.8125</v>
      </c>
      <c r="I13" s="178">
        <v>105</v>
      </c>
      <c r="J13" s="177">
        <v>91.845050000000001</v>
      </c>
      <c r="K13" s="99">
        <f t="shared" si="0"/>
        <v>27595.3125</v>
      </c>
      <c r="L13" s="6"/>
      <c r="M13" s="27"/>
    </row>
    <row r="14" spans="1:13" ht="20.25" x14ac:dyDescent="0.2">
      <c r="A14" s="29" t="s">
        <v>51</v>
      </c>
      <c r="B14" s="30" t="s">
        <v>52</v>
      </c>
      <c r="C14" s="31" t="s">
        <v>50</v>
      </c>
      <c r="D14" s="31"/>
      <c r="E14" s="31"/>
      <c r="F14" s="31"/>
      <c r="G14" s="31"/>
      <c r="H14" s="14">
        <v>250</v>
      </c>
      <c r="I14" s="178">
        <v>187</v>
      </c>
      <c r="J14" s="177">
        <v>182.56507999999999</v>
      </c>
      <c r="K14" s="99">
        <f t="shared" si="0"/>
        <v>46750</v>
      </c>
      <c r="L14" s="6"/>
      <c r="M14" s="27"/>
    </row>
    <row r="15" spans="1:13" ht="189" x14ac:dyDescent="0.2">
      <c r="A15" s="5">
        <v>2.13</v>
      </c>
      <c r="B15" s="33" t="s">
        <v>53</v>
      </c>
      <c r="C15" s="3"/>
      <c r="D15" s="3"/>
      <c r="E15" s="3"/>
      <c r="F15" s="3"/>
      <c r="G15" s="3"/>
      <c r="H15" s="14"/>
      <c r="I15" s="99"/>
      <c r="J15" s="177">
        <v>0</v>
      </c>
      <c r="K15" s="99">
        <f t="shared" si="0"/>
        <v>0</v>
      </c>
      <c r="L15" s="6"/>
      <c r="M15" s="27"/>
    </row>
    <row r="16" spans="1:13" ht="42" x14ac:dyDescent="0.2">
      <c r="A16" s="5" t="s">
        <v>54</v>
      </c>
      <c r="B16" s="33" t="s">
        <v>55</v>
      </c>
      <c r="C16" s="3" t="s">
        <v>56</v>
      </c>
      <c r="D16" s="3"/>
      <c r="E16" s="3"/>
      <c r="F16" s="3"/>
      <c r="G16" s="3"/>
      <c r="H16" s="14"/>
      <c r="I16" s="99">
        <v>933.35</v>
      </c>
      <c r="J16" s="177">
        <v>616.01099999999997</v>
      </c>
      <c r="K16" s="99">
        <f t="shared" si="0"/>
        <v>0</v>
      </c>
      <c r="L16" s="6"/>
      <c r="M16" s="27"/>
    </row>
    <row r="17" spans="1:13" ht="42" x14ac:dyDescent="0.2">
      <c r="A17" s="5" t="s">
        <v>57</v>
      </c>
      <c r="B17" s="33" t="s">
        <v>58</v>
      </c>
      <c r="C17" s="3" t="s">
        <v>56</v>
      </c>
      <c r="D17" s="3"/>
      <c r="E17" s="3"/>
      <c r="F17" s="3"/>
      <c r="G17" s="3"/>
      <c r="H17" s="14"/>
      <c r="I17" s="99">
        <v>1074</v>
      </c>
      <c r="J17" s="177">
        <v>873.59159999999997</v>
      </c>
      <c r="K17" s="99">
        <f t="shared" si="0"/>
        <v>0</v>
      </c>
      <c r="L17" s="6"/>
      <c r="M17" s="27"/>
    </row>
    <row r="18" spans="1:13" ht="105" x14ac:dyDescent="0.2">
      <c r="A18" s="5">
        <v>2.25</v>
      </c>
      <c r="B18" s="33" t="s">
        <v>59</v>
      </c>
      <c r="C18" s="3" t="s">
        <v>60</v>
      </c>
      <c r="D18" s="3"/>
      <c r="E18" s="3"/>
      <c r="F18" s="3"/>
      <c r="G18" s="3"/>
      <c r="H18" s="14">
        <f>SUM(H19:H22)</f>
        <v>345.9375</v>
      </c>
      <c r="I18" s="99">
        <v>253.95</v>
      </c>
      <c r="J18" s="177">
        <v>182.56465499999999</v>
      </c>
      <c r="K18" s="99">
        <f t="shared" si="0"/>
        <v>87850.828125</v>
      </c>
      <c r="L18" s="6"/>
      <c r="M18" s="27"/>
    </row>
    <row r="19" spans="1:13" ht="21" x14ac:dyDescent="0.2">
      <c r="A19" s="5"/>
      <c r="B19" s="33"/>
      <c r="C19" s="3"/>
      <c r="D19" s="3"/>
      <c r="E19" s="3"/>
      <c r="F19" s="3"/>
      <c r="G19" s="14">
        <f>H7</f>
        <v>517.25</v>
      </c>
      <c r="H19" s="14">
        <f>PRODUCT(G19)</f>
        <v>517.25</v>
      </c>
      <c r="I19" s="99"/>
      <c r="J19" s="177"/>
      <c r="K19" s="99"/>
      <c r="L19" s="6"/>
      <c r="M19" s="27"/>
    </row>
    <row r="20" spans="1:13" ht="21" x14ac:dyDescent="0.2">
      <c r="A20" s="5"/>
      <c r="B20" s="33" t="s">
        <v>337</v>
      </c>
      <c r="C20" s="3"/>
      <c r="D20" s="3"/>
      <c r="E20" s="3"/>
      <c r="F20" s="3"/>
      <c r="G20" s="14">
        <f>-H27</f>
        <v>-39.0625</v>
      </c>
      <c r="H20" s="14">
        <f>PRODUCT(G20)</f>
        <v>-39.0625</v>
      </c>
      <c r="I20" s="99"/>
      <c r="J20" s="177"/>
      <c r="K20" s="99"/>
      <c r="L20" s="6"/>
      <c r="M20" s="27"/>
    </row>
    <row r="21" spans="1:13" ht="21" x14ac:dyDescent="0.2">
      <c r="A21" s="5"/>
      <c r="B21" s="33" t="s">
        <v>338</v>
      </c>
      <c r="C21" s="3"/>
      <c r="D21" s="3"/>
      <c r="E21" s="3"/>
      <c r="F21" s="3"/>
      <c r="G21" s="14">
        <f>-H40</f>
        <v>-132.25</v>
      </c>
      <c r="H21" s="14">
        <f>PRODUCT(G21)</f>
        <v>-132.25</v>
      </c>
      <c r="I21" s="99"/>
      <c r="J21" s="177"/>
      <c r="K21" s="99"/>
      <c r="L21" s="6"/>
      <c r="M21" s="27"/>
    </row>
    <row r="22" spans="1:13" ht="21" x14ac:dyDescent="0.2">
      <c r="A22" s="5"/>
      <c r="B22" s="33" t="s">
        <v>339</v>
      </c>
      <c r="C22" s="3"/>
      <c r="D22" s="3"/>
      <c r="E22" s="3"/>
      <c r="F22" s="3"/>
      <c r="G22" s="14"/>
      <c r="H22" s="14">
        <f>PRODUCT(G22)</f>
        <v>0</v>
      </c>
      <c r="I22" s="99"/>
      <c r="J22" s="177"/>
      <c r="K22" s="99"/>
      <c r="L22" s="6"/>
      <c r="M22" s="27"/>
    </row>
    <row r="23" spans="1:13" ht="84" x14ac:dyDescent="0.2">
      <c r="A23" s="5">
        <v>1.1000000000000001</v>
      </c>
      <c r="B23" s="33" t="s">
        <v>61</v>
      </c>
      <c r="C23" s="6"/>
      <c r="D23" s="6"/>
      <c r="E23" s="6"/>
      <c r="F23" s="6"/>
      <c r="G23" s="6"/>
      <c r="H23" s="14"/>
      <c r="I23" s="99"/>
      <c r="J23" s="177">
        <v>0</v>
      </c>
      <c r="K23" s="99">
        <f>I23*H23</f>
        <v>0</v>
      </c>
      <c r="L23" s="6"/>
      <c r="M23" s="27"/>
    </row>
    <row r="24" spans="1:13" ht="21" x14ac:dyDescent="0.2">
      <c r="A24" s="5" t="s">
        <v>62</v>
      </c>
      <c r="B24" s="33" t="s">
        <v>63</v>
      </c>
      <c r="C24" s="3" t="s">
        <v>60</v>
      </c>
      <c r="D24" s="3"/>
      <c r="E24" s="3"/>
      <c r="F24" s="3"/>
      <c r="G24" s="3"/>
      <c r="H24" s="14">
        <f>H7-H18</f>
        <v>171.3125</v>
      </c>
      <c r="I24" s="99">
        <v>271.45</v>
      </c>
      <c r="J24" s="177">
        <v>98.563495000000003</v>
      </c>
      <c r="K24" s="99">
        <f>I24*H24</f>
        <v>46502.778124999997</v>
      </c>
      <c r="L24" s="6"/>
      <c r="M24" s="27"/>
    </row>
    <row r="25" spans="1:13" ht="21" x14ac:dyDescent="0.2">
      <c r="A25" s="5" t="s">
        <v>64</v>
      </c>
      <c r="B25" s="33" t="s">
        <v>65</v>
      </c>
      <c r="C25" s="3" t="s">
        <v>60</v>
      </c>
      <c r="D25" s="3"/>
      <c r="E25" s="3"/>
      <c r="F25" s="3"/>
      <c r="G25" s="3"/>
      <c r="H25" s="14"/>
      <c r="I25" s="99">
        <v>434.32</v>
      </c>
      <c r="J25" s="177">
        <v>147.84252799999999</v>
      </c>
      <c r="K25" s="99">
        <f>I25*H25</f>
        <v>0</v>
      </c>
      <c r="L25" s="6"/>
      <c r="M25" s="27"/>
    </row>
    <row r="26" spans="1:13" ht="63" x14ac:dyDescent="0.2">
      <c r="A26" s="5">
        <v>4.0999999999999996</v>
      </c>
      <c r="B26" s="33" t="s">
        <v>74</v>
      </c>
      <c r="C26" s="3"/>
      <c r="D26" s="3"/>
      <c r="E26" s="3"/>
      <c r="F26" s="3"/>
      <c r="G26" s="3"/>
      <c r="H26" s="14"/>
      <c r="I26" s="99"/>
      <c r="J26" s="177"/>
      <c r="K26" s="99">
        <f>I26*H26</f>
        <v>0</v>
      </c>
      <c r="L26" s="6"/>
      <c r="M26" s="27"/>
    </row>
    <row r="27" spans="1:13" ht="84" x14ac:dyDescent="0.2">
      <c r="A27" s="5" t="s">
        <v>75</v>
      </c>
      <c r="B27" s="33" t="s">
        <v>76</v>
      </c>
      <c r="C27" s="3" t="s">
        <v>43</v>
      </c>
      <c r="D27" s="3"/>
      <c r="E27" s="3"/>
      <c r="F27" s="3"/>
      <c r="G27" s="3" t="s">
        <v>309</v>
      </c>
      <c r="H27" s="14">
        <f>SUM(H28:H29)</f>
        <v>39.0625</v>
      </c>
      <c r="I27" s="99">
        <v>6833.4</v>
      </c>
      <c r="J27" s="177">
        <v>4811.3969399999996</v>
      </c>
      <c r="K27" s="99">
        <f>I27*H27</f>
        <v>266929.6875</v>
      </c>
      <c r="L27" s="6"/>
      <c r="M27" s="27"/>
    </row>
    <row r="28" spans="1:13" ht="21" x14ac:dyDescent="0.2">
      <c r="A28" s="5"/>
      <c r="B28" s="33" t="s">
        <v>332</v>
      </c>
      <c r="C28" s="3"/>
      <c r="D28" s="14">
        <f>D8</f>
        <v>62.5</v>
      </c>
      <c r="E28" s="14">
        <f>E8-0.6+0.2</f>
        <v>2.5</v>
      </c>
      <c r="F28" s="14">
        <f>F8-0.6+0.2</f>
        <v>2.5</v>
      </c>
      <c r="G28" s="14">
        <v>0.1</v>
      </c>
      <c r="H28" s="14">
        <f>PRODUCT(D28:G28)</f>
        <v>39.0625</v>
      </c>
      <c r="I28" s="99"/>
      <c r="J28" s="177"/>
      <c r="K28" s="99"/>
      <c r="L28" s="6"/>
      <c r="M28" s="27"/>
    </row>
    <row r="29" spans="1:13" ht="21" x14ac:dyDescent="0.2">
      <c r="A29" s="5"/>
      <c r="B29" s="33"/>
      <c r="C29" s="3"/>
      <c r="D29" s="14"/>
      <c r="E29" s="14"/>
      <c r="F29" s="3"/>
      <c r="G29" s="34"/>
      <c r="H29" s="14"/>
      <c r="I29" s="99"/>
      <c r="J29" s="177"/>
      <c r="K29" s="99"/>
      <c r="L29" s="6"/>
      <c r="M29" s="27"/>
    </row>
    <row r="30" spans="1:13" ht="42" x14ac:dyDescent="0.2">
      <c r="A30" s="5">
        <v>5.9</v>
      </c>
      <c r="B30" s="33" t="s">
        <v>80</v>
      </c>
      <c r="C30" s="3"/>
      <c r="D30" s="3"/>
      <c r="E30" s="3"/>
      <c r="F30" s="3"/>
      <c r="G30" s="3"/>
      <c r="H30" s="14"/>
      <c r="I30" s="99"/>
      <c r="J30" s="177"/>
      <c r="K30" s="99">
        <f>I30*H30</f>
        <v>0</v>
      </c>
      <c r="L30" s="6"/>
      <c r="M30" s="27"/>
    </row>
    <row r="31" spans="1:13" ht="84" x14ac:dyDescent="0.2">
      <c r="A31" s="5" t="s">
        <v>81</v>
      </c>
      <c r="B31" s="33" t="s">
        <v>310</v>
      </c>
      <c r="C31" s="3" t="s">
        <v>73</v>
      </c>
      <c r="D31" s="3"/>
      <c r="E31" s="3"/>
      <c r="F31" s="3"/>
      <c r="G31" s="3" t="s">
        <v>309</v>
      </c>
      <c r="H31" s="14">
        <f>SUM(H32:H36)</f>
        <v>605.00000000000011</v>
      </c>
      <c r="I31" s="99">
        <v>307.95</v>
      </c>
      <c r="J31" s="177">
        <v>684.32649000000004</v>
      </c>
      <c r="K31" s="99">
        <f>I31*H31</f>
        <v>186309.75000000003</v>
      </c>
      <c r="L31" s="6"/>
      <c r="M31" s="27"/>
    </row>
    <row r="32" spans="1:13" ht="21" x14ac:dyDescent="0.2">
      <c r="A32" s="5"/>
      <c r="B32" s="3" t="str">
        <f>B40</f>
        <v xml:space="preserve">FOOTING </v>
      </c>
      <c r="C32" s="3"/>
      <c r="D32" s="99">
        <f>D40</f>
        <v>62.5</v>
      </c>
      <c r="E32" s="3">
        <f>E40+F40</f>
        <v>4.5999999999999996</v>
      </c>
      <c r="F32" s="3">
        <v>2</v>
      </c>
      <c r="G32" s="3">
        <f>G40</f>
        <v>0.4</v>
      </c>
      <c r="H32" s="14">
        <f>PRODUCT(D32:G32)</f>
        <v>230</v>
      </c>
      <c r="I32" s="99"/>
      <c r="J32" s="177"/>
      <c r="K32" s="99"/>
      <c r="L32" s="6"/>
      <c r="M32" s="27"/>
    </row>
    <row r="33" spans="1:13" ht="21" x14ac:dyDescent="0.2">
      <c r="A33" s="5"/>
      <c r="B33" s="3"/>
      <c r="C33" s="3"/>
      <c r="D33" s="99"/>
      <c r="E33" s="3"/>
      <c r="F33" s="3"/>
      <c r="G33" s="3"/>
      <c r="H33" s="14"/>
      <c r="I33" s="99"/>
      <c r="J33" s="177"/>
      <c r="K33" s="99"/>
      <c r="L33" s="6"/>
      <c r="M33" s="27"/>
    </row>
    <row r="34" spans="1:13" ht="21" x14ac:dyDescent="0.2">
      <c r="A34" s="5"/>
      <c r="B34" s="33"/>
      <c r="C34" s="3"/>
      <c r="D34" s="99">
        <f>D42</f>
        <v>62.5</v>
      </c>
      <c r="E34" s="3">
        <f>E42+F42</f>
        <v>1.2000000000000002</v>
      </c>
      <c r="F34" s="3">
        <v>2</v>
      </c>
      <c r="G34" s="3">
        <f>G42</f>
        <v>1.5</v>
      </c>
      <c r="H34" s="14">
        <f>PRODUCT(D34:G34)</f>
        <v>225.00000000000006</v>
      </c>
      <c r="I34" s="99"/>
      <c r="J34" s="177"/>
      <c r="K34" s="99"/>
      <c r="L34" s="6"/>
      <c r="M34" s="27"/>
    </row>
    <row r="35" spans="1:13" ht="21" x14ac:dyDescent="0.2">
      <c r="A35" s="5"/>
      <c r="B35" s="33"/>
      <c r="C35" s="3"/>
      <c r="D35" s="99"/>
      <c r="E35" s="3"/>
      <c r="F35" s="3"/>
      <c r="G35" s="3"/>
      <c r="H35" s="14"/>
      <c r="I35" s="99"/>
      <c r="J35" s="177"/>
      <c r="K35" s="99"/>
      <c r="L35" s="6"/>
      <c r="M35" s="27"/>
    </row>
    <row r="36" spans="1:13" ht="21" x14ac:dyDescent="0.2">
      <c r="A36" s="5"/>
      <c r="B36" s="33"/>
      <c r="C36" s="3"/>
      <c r="D36" s="99">
        <f>D44</f>
        <v>62.5</v>
      </c>
      <c r="E36" s="3">
        <f>E44+F44</f>
        <v>1.2000000000000002</v>
      </c>
      <c r="F36" s="3">
        <v>2</v>
      </c>
      <c r="G36" s="3">
        <f>G44</f>
        <v>1</v>
      </c>
      <c r="H36" s="14">
        <f>PRODUCT(D36:G36)</f>
        <v>150.00000000000003</v>
      </c>
      <c r="I36" s="99"/>
      <c r="J36" s="177"/>
      <c r="K36" s="99"/>
      <c r="L36" s="6"/>
      <c r="M36" s="27"/>
    </row>
    <row r="37" spans="1:13" ht="409.5" x14ac:dyDescent="0.2">
      <c r="A37" s="5">
        <v>5.33</v>
      </c>
      <c r="B37" s="33" t="s">
        <v>312</v>
      </c>
      <c r="C37" s="3"/>
      <c r="D37" s="3"/>
      <c r="E37" s="3"/>
      <c r="F37" s="3"/>
      <c r="G37" s="3"/>
      <c r="H37" s="14"/>
      <c r="I37" s="99"/>
      <c r="J37" s="177"/>
      <c r="K37" s="99">
        <f>I37*H37</f>
        <v>0</v>
      </c>
      <c r="L37" s="6"/>
      <c r="M37" s="27"/>
    </row>
    <row r="38" spans="1:13" ht="21" x14ac:dyDescent="0.2">
      <c r="A38" s="5" t="s">
        <v>100</v>
      </c>
      <c r="B38" s="33" t="s">
        <v>101</v>
      </c>
      <c r="C38" s="3"/>
      <c r="D38" s="3"/>
      <c r="E38" s="3"/>
      <c r="F38" s="3"/>
      <c r="G38" s="3"/>
      <c r="H38" s="14"/>
      <c r="I38" s="99"/>
      <c r="J38" s="177"/>
      <c r="K38" s="99">
        <f>I38*H38</f>
        <v>0</v>
      </c>
      <c r="L38" s="6"/>
      <c r="M38" s="27"/>
    </row>
    <row r="39" spans="1:13" ht="42" x14ac:dyDescent="0.2">
      <c r="A39" s="5" t="s">
        <v>102</v>
      </c>
      <c r="B39" s="33" t="s">
        <v>313</v>
      </c>
      <c r="C39" s="3" t="s">
        <v>43</v>
      </c>
      <c r="D39" s="3"/>
      <c r="E39" s="3"/>
      <c r="F39" s="3"/>
      <c r="G39" s="3" t="s">
        <v>309</v>
      </c>
      <c r="H39" s="14">
        <f>SUM(H40:H44)</f>
        <v>182.25</v>
      </c>
      <c r="I39" s="99">
        <v>7997.3</v>
      </c>
      <c r="J39" s="177">
        <v>6051.5569100000002</v>
      </c>
      <c r="K39" s="99">
        <f>I39*H39</f>
        <v>1457507.925</v>
      </c>
      <c r="L39" s="6"/>
      <c r="M39" s="27"/>
    </row>
    <row r="40" spans="1:13" ht="21" x14ac:dyDescent="0.2">
      <c r="A40" s="5"/>
      <c r="B40" s="33" t="s">
        <v>333</v>
      </c>
      <c r="C40" s="3"/>
      <c r="D40" s="99">
        <f>D28</f>
        <v>62.5</v>
      </c>
      <c r="E40" s="2">
        <f>E28-0.2</f>
        <v>2.2999999999999998</v>
      </c>
      <c r="F40" s="2">
        <f>F28-0.2</f>
        <v>2.2999999999999998</v>
      </c>
      <c r="G40" s="3">
        <v>0.4</v>
      </c>
      <c r="H40" s="14">
        <f>PRODUCT(D40:G40)</f>
        <v>132.25</v>
      </c>
      <c r="I40" s="99"/>
      <c r="J40" s="177"/>
      <c r="K40" s="99"/>
      <c r="L40" s="6"/>
      <c r="M40" s="27"/>
    </row>
    <row r="41" spans="1:13" ht="21" x14ac:dyDescent="0.2">
      <c r="A41" s="5"/>
      <c r="B41" s="33" t="s">
        <v>348</v>
      </c>
      <c r="C41" s="3"/>
      <c r="D41" s="3"/>
      <c r="E41" s="3"/>
      <c r="F41" s="3"/>
      <c r="G41" s="3"/>
      <c r="H41" s="14"/>
      <c r="I41" s="99"/>
      <c r="J41" s="177"/>
      <c r="K41" s="99"/>
      <c r="L41" s="6"/>
      <c r="M41" s="27"/>
    </row>
    <row r="42" spans="1:13" ht="21" x14ac:dyDescent="0.2">
      <c r="A42" s="5"/>
      <c r="B42" s="33" t="s">
        <v>349</v>
      </c>
      <c r="C42" s="3"/>
      <c r="D42" s="14">
        <f>D40</f>
        <v>62.5</v>
      </c>
      <c r="E42" s="3">
        <v>0.8</v>
      </c>
      <c r="F42" s="3">
        <v>0.4</v>
      </c>
      <c r="G42" s="3">
        <f>2-0-0.4-0.1</f>
        <v>1.5</v>
      </c>
      <c r="H42" s="14">
        <f>PRODUCT(D42:G42)</f>
        <v>30</v>
      </c>
      <c r="I42" s="99"/>
      <c r="J42" s="177"/>
      <c r="K42" s="99"/>
      <c r="L42" s="6"/>
      <c r="M42" s="27"/>
    </row>
    <row r="43" spans="1:13" ht="21" x14ac:dyDescent="0.2">
      <c r="A43" s="5"/>
      <c r="B43" s="33"/>
      <c r="C43" s="3"/>
      <c r="D43" s="3"/>
      <c r="E43" s="3"/>
      <c r="F43" s="3"/>
      <c r="G43" s="3"/>
      <c r="H43" s="14"/>
      <c r="I43" s="99"/>
      <c r="J43" s="177"/>
      <c r="K43" s="99"/>
      <c r="L43" s="6"/>
      <c r="M43" s="27"/>
    </row>
    <row r="44" spans="1:13" ht="21" x14ac:dyDescent="0.2">
      <c r="A44" s="5"/>
      <c r="B44" s="33" t="s">
        <v>384</v>
      </c>
      <c r="C44" s="3"/>
      <c r="D44" s="14">
        <f>D42</f>
        <v>62.5</v>
      </c>
      <c r="E44" s="3">
        <f>E42</f>
        <v>0.8</v>
      </c>
      <c r="F44" s="3">
        <f>F42</f>
        <v>0.4</v>
      </c>
      <c r="G44" s="3">
        <v>1</v>
      </c>
      <c r="H44" s="14">
        <f>PRODUCT(D44:G44)</f>
        <v>20</v>
      </c>
      <c r="I44" s="99"/>
      <c r="J44" s="177"/>
      <c r="K44" s="99"/>
      <c r="L44" s="6"/>
      <c r="M44" s="27"/>
    </row>
    <row r="45" spans="1:13" ht="21" x14ac:dyDescent="0.2">
      <c r="A45" s="5"/>
      <c r="B45" s="33"/>
      <c r="C45" s="3"/>
      <c r="D45" s="3"/>
      <c r="E45" s="3"/>
      <c r="F45" s="3"/>
      <c r="G45" s="3"/>
      <c r="H45" s="14"/>
      <c r="I45" s="99"/>
      <c r="J45" s="177"/>
      <c r="K45" s="99"/>
      <c r="L45" s="6"/>
      <c r="M45" s="27"/>
    </row>
    <row r="46" spans="1:13" ht="42" x14ac:dyDescent="0.2">
      <c r="A46" s="5" t="s">
        <v>104</v>
      </c>
      <c r="B46" s="33" t="s">
        <v>315</v>
      </c>
      <c r="C46" s="3" t="s">
        <v>43</v>
      </c>
      <c r="D46" s="3"/>
      <c r="E46" s="3"/>
      <c r="F46" s="3"/>
      <c r="G46" s="3"/>
      <c r="H46" s="14"/>
      <c r="I46" s="99">
        <v>8599.35</v>
      </c>
      <c r="J46" s="177">
        <v>6262.0466699999997</v>
      </c>
      <c r="K46" s="99">
        <f>I46*H46</f>
        <v>0</v>
      </c>
      <c r="L46" s="6"/>
      <c r="M46" s="27"/>
    </row>
    <row r="47" spans="1:13" ht="21" x14ac:dyDescent="0.2">
      <c r="A47" s="5" t="s">
        <v>106</v>
      </c>
      <c r="B47" s="33" t="s">
        <v>107</v>
      </c>
      <c r="C47" s="3"/>
      <c r="D47" s="3"/>
      <c r="E47" s="3"/>
      <c r="F47" s="3"/>
      <c r="G47" s="3"/>
      <c r="H47" s="14"/>
      <c r="I47" s="99"/>
      <c r="J47" s="177">
        <v>0</v>
      </c>
      <c r="K47" s="99">
        <f>I47*H47</f>
        <v>0</v>
      </c>
      <c r="L47" s="6"/>
      <c r="M47" s="27"/>
    </row>
    <row r="48" spans="1:13" ht="42" x14ac:dyDescent="0.2">
      <c r="A48" s="5" t="s">
        <v>108</v>
      </c>
      <c r="B48" s="33" t="s">
        <v>313</v>
      </c>
      <c r="C48" s="3" t="s">
        <v>43</v>
      </c>
      <c r="D48" s="3"/>
      <c r="E48" s="3"/>
      <c r="F48" s="3"/>
      <c r="G48" s="3" t="s">
        <v>309</v>
      </c>
      <c r="H48" s="14">
        <f>SUM(H49:H49)</f>
        <v>0</v>
      </c>
      <c r="I48" s="99">
        <v>10080.15</v>
      </c>
      <c r="J48" s="177">
        <v>6660.9631200000003</v>
      </c>
      <c r="K48" s="99">
        <f>I48*H48</f>
        <v>0</v>
      </c>
      <c r="L48" s="6"/>
      <c r="M48" s="27"/>
    </row>
    <row r="49" spans="1:13" ht="21" x14ac:dyDescent="0.2">
      <c r="A49" s="5"/>
      <c r="B49" s="33"/>
      <c r="C49" s="3"/>
      <c r="D49" s="3"/>
      <c r="E49" s="3"/>
      <c r="F49" s="3"/>
      <c r="G49" s="3"/>
      <c r="H49" s="14"/>
      <c r="I49" s="99"/>
      <c r="J49" s="177"/>
      <c r="K49" s="99"/>
      <c r="L49" s="6"/>
      <c r="M49" s="27"/>
    </row>
    <row r="50" spans="1:13" ht="42" x14ac:dyDescent="0.2">
      <c r="A50" s="5" t="s">
        <v>109</v>
      </c>
      <c r="B50" s="33" t="s">
        <v>315</v>
      </c>
      <c r="C50" s="3" t="s">
        <v>43</v>
      </c>
      <c r="D50" s="3"/>
      <c r="E50" s="3"/>
      <c r="F50" s="3"/>
      <c r="G50" s="3"/>
      <c r="H50" s="14"/>
      <c r="I50" s="99">
        <v>10221.700000000001</v>
      </c>
      <c r="J50" s="177">
        <v>6870.0045700000001</v>
      </c>
      <c r="K50" s="99">
        <f>I50*H50</f>
        <v>0</v>
      </c>
      <c r="L50" s="6"/>
      <c r="M50" s="27"/>
    </row>
    <row r="51" spans="1:13" ht="105" x14ac:dyDescent="0.2">
      <c r="A51" s="5">
        <v>5.22</v>
      </c>
      <c r="B51" s="33" t="s">
        <v>316</v>
      </c>
      <c r="C51" s="8"/>
      <c r="D51" s="8"/>
      <c r="E51" s="8"/>
      <c r="F51" s="8"/>
      <c r="G51" s="8"/>
      <c r="H51" s="14"/>
      <c r="I51" s="99"/>
      <c r="J51" s="177">
        <v>0</v>
      </c>
      <c r="K51" s="99">
        <f>I51*H51</f>
        <v>0</v>
      </c>
      <c r="L51" s="6"/>
      <c r="M51" s="27"/>
    </row>
    <row r="52" spans="1:13" ht="42" x14ac:dyDescent="0.2">
      <c r="A52" s="5" t="s">
        <v>110</v>
      </c>
      <c r="B52" s="33" t="s">
        <v>111</v>
      </c>
      <c r="C52" s="3" t="s">
        <v>112</v>
      </c>
      <c r="D52" s="3"/>
      <c r="E52" s="3"/>
      <c r="F52" s="3"/>
      <c r="G52" s="3" t="s">
        <v>309</v>
      </c>
      <c r="H52" s="35">
        <f>SUM(H53)</f>
        <v>10935</v>
      </c>
      <c r="I52" s="99">
        <v>89.65</v>
      </c>
      <c r="J52" s="177">
        <v>90.716835000000003</v>
      </c>
      <c r="K52" s="99">
        <f>I52*H52</f>
        <v>980322.75000000012</v>
      </c>
      <c r="L52" s="6"/>
      <c r="M52" s="27"/>
    </row>
    <row r="53" spans="1:13" ht="21" x14ac:dyDescent="0.2">
      <c r="A53" s="5"/>
      <c r="B53" s="33"/>
      <c r="C53" s="3"/>
      <c r="D53" s="3">
        <v>60</v>
      </c>
      <c r="E53" s="3"/>
      <c r="F53" s="6"/>
      <c r="G53" s="14">
        <f>H48+H39</f>
        <v>182.25</v>
      </c>
      <c r="H53" s="14">
        <f>PRODUCT(D53:G53)</f>
        <v>10935</v>
      </c>
      <c r="I53" s="99"/>
      <c r="J53" s="177"/>
      <c r="K53" s="99"/>
      <c r="L53" s="6"/>
      <c r="M53" s="27"/>
    </row>
    <row r="54" spans="1:13" ht="256.5" customHeight="1" x14ac:dyDescent="0.2">
      <c r="A54" s="68" t="s">
        <v>207</v>
      </c>
      <c r="B54" s="33" t="s">
        <v>208</v>
      </c>
      <c r="C54" s="3"/>
      <c r="D54" s="3"/>
      <c r="E54" s="3"/>
      <c r="F54" s="3"/>
      <c r="G54" s="3"/>
      <c r="H54" s="8"/>
      <c r="I54" s="99"/>
      <c r="J54" s="177"/>
      <c r="K54" s="99">
        <f>I54*H54</f>
        <v>0</v>
      </c>
      <c r="L54" s="6"/>
      <c r="M54" s="27"/>
    </row>
    <row r="55" spans="1:13" ht="21" x14ac:dyDescent="0.2">
      <c r="A55" s="69"/>
      <c r="B55" s="33"/>
      <c r="C55" s="3" t="s">
        <v>112</v>
      </c>
      <c r="D55" s="3"/>
      <c r="E55" s="3"/>
      <c r="F55" s="3"/>
      <c r="G55" s="3" t="s">
        <v>309</v>
      </c>
      <c r="H55" s="144"/>
      <c r="I55" s="99">
        <v>120</v>
      </c>
      <c r="J55" s="177">
        <v>147.84</v>
      </c>
      <c r="K55" s="99">
        <f>I55*H55</f>
        <v>0</v>
      </c>
      <c r="L55" s="6"/>
      <c r="M55" s="27"/>
    </row>
    <row r="56" spans="1:13" ht="23.25" x14ac:dyDescent="0.2">
      <c r="A56" s="139">
        <v>1034</v>
      </c>
      <c r="B56" s="140" t="s">
        <v>205</v>
      </c>
      <c r="C56" s="141" t="s">
        <v>206</v>
      </c>
      <c r="D56" s="141"/>
      <c r="E56" s="142"/>
      <c r="F56" s="3"/>
      <c r="G56" s="3">
        <v>10</v>
      </c>
      <c r="H56" s="14">
        <f>G56</f>
        <v>10</v>
      </c>
      <c r="I56" s="179">
        <v>5200</v>
      </c>
      <c r="J56" s="177"/>
      <c r="K56" s="99">
        <f>I56*H56</f>
        <v>52000</v>
      </c>
      <c r="L56" s="6"/>
      <c r="M56" s="27"/>
    </row>
    <row r="57" spans="1:13" ht="21" x14ac:dyDescent="0.2">
      <c r="A57" s="5"/>
      <c r="B57" s="33"/>
      <c r="C57" s="3"/>
      <c r="D57" s="3"/>
      <c r="E57" s="3"/>
      <c r="F57" s="6"/>
      <c r="G57" s="14"/>
      <c r="H57" s="14"/>
      <c r="I57" s="99"/>
      <c r="J57" s="177"/>
      <c r="K57" s="99"/>
      <c r="L57" s="6"/>
      <c r="M57" s="27"/>
    </row>
    <row r="58" spans="1:13" ht="20.25" x14ac:dyDescent="0.3">
      <c r="A58" s="557"/>
      <c r="B58" s="557"/>
      <c r="C58" s="557"/>
      <c r="D58" s="557"/>
      <c r="E58" s="557"/>
      <c r="F58" s="557"/>
      <c r="G58" s="557"/>
      <c r="H58" s="557"/>
      <c r="I58" s="557"/>
      <c r="J58" s="180"/>
      <c r="K58" s="99">
        <f>SUM(K6:K57)</f>
        <v>3478553.34375</v>
      </c>
      <c r="L58" s="48"/>
      <c r="M58" s="27"/>
    </row>
    <row r="59" spans="1:13" ht="20.25" x14ac:dyDescent="0.2">
      <c r="A59" s="50"/>
      <c r="B59" s="51"/>
      <c r="C59" s="50"/>
      <c r="D59" s="50"/>
      <c r="E59" s="50"/>
      <c r="F59" s="50"/>
      <c r="G59" s="50"/>
      <c r="H59" s="52"/>
      <c r="I59" s="171"/>
      <c r="J59" s="181"/>
      <c r="K59" s="165"/>
      <c r="L59" s="6"/>
      <c r="M59" s="53"/>
    </row>
    <row r="60" spans="1:13" x14ac:dyDescent="0.2">
      <c r="M60" s="57"/>
    </row>
    <row r="61" spans="1:13" x14ac:dyDescent="0.2">
      <c r="M61" s="57"/>
    </row>
    <row r="62" spans="1:13" x14ac:dyDescent="0.2">
      <c r="M62" s="57"/>
    </row>
    <row r="63" spans="1:13" x14ac:dyDescent="0.2">
      <c r="M63" s="57"/>
    </row>
    <row r="64" spans="1:13" x14ac:dyDescent="0.2">
      <c r="M64" s="57"/>
    </row>
    <row r="65" spans="1:13" x14ac:dyDescent="0.2">
      <c r="M65" s="57"/>
    </row>
    <row r="66" spans="1:13" x14ac:dyDescent="0.2">
      <c r="M66" s="57"/>
    </row>
    <row r="67" spans="1:13" x14ac:dyDescent="0.2">
      <c r="M67" s="57"/>
    </row>
    <row r="68" spans="1:13" x14ac:dyDescent="0.2">
      <c r="M68" s="57"/>
    </row>
    <row r="69" spans="1:13" x14ac:dyDescent="0.2">
      <c r="A69" s="59"/>
      <c r="B69" s="60"/>
      <c r="C69" s="59"/>
      <c r="D69" s="59"/>
      <c r="E69" s="59"/>
      <c r="F69" s="59"/>
      <c r="G69" s="59"/>
      <c r="H69" s="61"/>
      <c r="I69" s="167"/>
      <c r="J69" s="183"/>
      <c r="K69" s="167"/>
      <c r="L69" s="59"/>
      <c r="M69" s="62"/>
    </row>
  </sheetData>
  <protectedRanges>
    <protectedRange sqref="M2" name="Range1"/>
  </protectedRanges>
  <autoFilter ref="A5:M8"/>
  <mergeCells count="5">
    <mergeCell ref="A1:M1"/>
    <mergeCell ref="B2:K2"/>
    <mergeCell ref="L2:M2"/>
    <mergeCell ref="A3:M3"/>
    <mergeCell ref="A58:I58"/>
  </mergeCells>
  <phoneticPr fontId="1" type="noConversion"/>
  <conditionalFormatting sqref="B56">
    <cfRule type="cellIs" dxfId="21" priority="1" stopIfTrue="1" operator="equal">
      <formula>#REF!</formula>
    </cfRule>
    <cfRule type="cellIs" dxfId="20" priority="2" stopIfTrue="1" operator="equal">
      <formula>#REF!</formula>
    </cfRule>
  </conditionalFormatting>
  <pageMargins left="0.7" right="0.7" top="0.75" bottom="0.75" header="0.3" footer="0.3"/>
  <pageSetup scale="29" orientation="portrait" r:id="rId1"/>
  <colBreaks count="1" manualBreakCount="1">
    <brk id="13" max="1048575" man="1"/>
  </col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N150"/>
  <sheetViews>
    <sheetView zoomScale="55" zoomScaleNormal="55" workbookViewId="0">
      <selection activeCell="I8" sqref="I8"/>
    </sheetView>
  </sheetViews>
  <sheetFormatPr defaultColWidth="9.140625" defaultRowHeight="23.25" x14ac:dyDescent="0.2"/>
  <cols>
    <col min="1" max="1" width="13" style="63" customWidth="1"/>
    <col min="2" max="2" width="13.85546875" style="7" customWidth="1"/>
    <col min="3" max="3" width="76.28515625" style="55" customWidth="1"/>
    <col min="4" max="8" width="14.42578125" style="7" customWidth="1"/>
    <col min="9" max="9" width="21.85546875" style="56" customWidth="1"/>
    <col min="10" max="10" width="15" style="166" customWidth="1"/>
    <col min="11" max="11" width="15" style="182" hidden="1" customWidth="1"/>
    <col min="12" max="12" width="26.42578125" style="166" customWidth="1"/>
    <col min="13" max="13" width="23.85546875" style="7" customWidth="1"/>
    <col min="14" max="14" width="40.7109375" style="7" customWidth="1"/>
    <col min="15" max="15" width="9.140625" style="7" customWidth="1"/>
    <col min="16" max="16384" width="9.140625" style="7"/>
  </cols>
  <sheetData>
    <row r="1" spans="1:14" ht="195.75" customHeight="1" x14ac:dyDescent="0.2">
      <c r="A1" s="558"/>
      <c r="B1" s="559"/>
      <c r="C1" s="559"/>
      <c r="D1" s="559"/>
      <c r="E1" s="559"/>
      <c r="F1" s="559"/>
      <c r="G1" s="559"/>
      <c r="H1" s="559"/>
      <c r="I1" s="559"/>
      <c r="J1" s="559"/>
      <c r="K1" s="559"/>
      <c r="L1" s="559"/>
      <c r="M1" s="559"/>
      <c r="N1" s="560"/>
    </row>
    <row r="2" spans="1:14" ht="54" customHeight="1" x14ac:dyDescent="0.2">
      <c r="A2" s="561" t="s">
        <v>12</v>
      </c>
      <c r="B2" s="562"/>
      <c r="C2" s="563" t="s">
        <v>13</v>
      </c>
      <c r="D2" s="564"/>
      <c r="E2" s="564"/>
      <c r="F2" s="564"/>
      <c r="G2" s="564"/>
      <c r="H2" s="564"/>
      <c r="I2" s="564"/>
      <c r="J2" s="564"/>
      <c r="K2" s="564"/>
      <c r="L2" s="565"/>
      <c r="M2" s="566" t="s">
        <v>14</v>
      </c>
      <c r="N2" s="567"/>
    </row>
    <row r="3" spans="1:14" ht="63.75" customHeight="1" x14ac:dyDescent="0.2">
      <c r="A3" s="568" t="s">
        <v>385</v>
      </c>
      <c r="B3" s="569"/>
      <c r="C3" s="569"/>
      <c r="D3" s="569"/>
      <c r="E3" s="569"/>
      <c r="F3" s="569"/>
      <c r="G3" s="569"/>
      <c r="H3" s="569"/>
      <c r="I3" s="569"/>
      <c r="J3" s="569"/>
      <c r="K3" s="569"/>
      <c r="L3" s="569"/>
      <c r="M3" s="569"/>
      <c r="N3" s="570"/>
    </row>
    <row r="4" spans="1:14" ht="61.5" customHeight="1" x14ac:dyDescent="0.2">
      <c r="A4" s="553" t="s">
        <v>386</v>
      </c>
      <c r="B4" s="554"/>
      <c r="C4" s="554"/>
      <c r="D4" s="554"/>
      <c r="E4" s="554"/>
      <c r="F4" s="554"/>
      <c r="G4" s="554"/>
      <c r="H4" s="554"/>
      <c r="I4" s="554"/>
      <c r="J4" s="554"/>
      <c r="K4" s="554"/>
      <c r="L4" s="554"/>
      <c r="M4" s="554"/>
      <c r="N4" s="555"/>
    </row>
    <row r="5" spans="1:14" ht="60.75" x14ac:dyDescent="0.2">
      <c r="A5" s="16" t="s">
        <v>16</v>
      </c>
      <c r="B5" s="64" t="s">
        <v>17</v>
      </c>
      <c r="C5" s="18" t="s">
        <v>18</v>
      </c>
      <c r="D5" s="19" t="s">
        <v>19</v>
      </c>
      <c r="E5" s="20" t="s">
        <v>180</v>
      </c>
      <c r="F5" s="20" t="s">
        <v>302</v>
      </c>
      <c r="G5" s="20" t="s">
        <v>303</v>
      </c>
      <c r="H5" s="20" t="s">
        <v>304</v>
      </c>
      <c r="I5" s="21" t="s">
        <v>305</v>
      </c>
      <c r="J5" s="170" t="s">
        <v>37</v>
      </c>
      <c r="K5" s="175" t="s">
        <v>306</v>
      </c>
      <c r="L5" s="21" t="s">
        <v>38</v>
      </c>
      <c r="M5" s="22" t="s">
        <v>39</v>
      </c>
      <c r="N5" s="23" t="s">
        <v>40</v>
      </c>
    </row>
    <row r="6" spans="1:14" ht="22.5" x14ac:dyDescent="0.2">
      <c r="A6" s="24"/>
      <c r="B6" s="65"/>
      <c r="C6" s="25"/>
      <c r="D6" s="20"/>
      <c r="E6" s="20"/>
      <c r="F6" s="20"/>
      <c r="G6" s="20"/>
      <c r="H6" s="20"/>
      <c r="I6" s="26"/>
      <c r="J6" s="101"/>
      <c r="K6" s="176"/>
      <c r="L6" s="26"/>
      <c r="M6" s="6"/>
      <c r="N6" s="27"/>
    </row>
    <row r="7" spans="1:14" ht="147" customHeight="1" x14ac:dyDescent="0.2">
      <c r="A7" s="28">
        <v>1</v>
      </c>
      <c r="B7" s="5">
        <v>2.6</v>
      </c>
      <c r="C7" s="33" t="s">
        <v>41</v>
      </c>
      <c r="D7" s="3"/>
      <c r="E7" s="3"/>
      <c r="F7" s="3"/>
      <c r="G7" s="3"/>
      <c r="H7" s="3"/>
      <c r="I7" s="14"/>
      <c r="J7" s="99"/>
      <c r="K7" s="177"/>
      <c r="L7" s="99"/>
      <c r="M7" s="6"/>
      <c r="N7" s="27"/>
    </row>
    <row r="8" spans="1:14" ht="22.5" x14ac:dyDescent="0.2">
      <c r="A8" s="28"/>
      <c r="B8" s="5"/>
      <c r="C8" s="33" t="s">
        <v>42</v>
      </c>
      <c r="D8" s="3" t="s">
        <v>43</v>
      </c>
      <c r="E8" s="3"/>
      <c r="F8" s="3"/>
      <c r="G8" s="3"/>
      <c r="H8" s="3"/>
      <c r="I8" s="14">
        <f>SUM(I10:I15)</f>
        <v>175.68870000000004</v>
      </c>
      <c r="J8" s="99">
        <v>205.45</v>
      </c>
      <c r="K8" s="177">
        <v>215.04451499999999</v>
      </c>
      <c r="L8" s="99">
        <f>J8*I8</f>
        <v>36095.243415000004</v>
      </c>
      <c r="M8" s="6"/>
      <c r="N8" s="27"/>
    </row>
    <row r="9" spans="1:14" ht="22.5" x14ac:dyDescent="0.2">
      <c r="A9" s="28"/>
      <c r="B9" s="5"/>
      <c r="C9" s="33"/>
      <c r="D9" s="3"/>
      <c r="E9" s="3"/>
      <c r="F9" s="3"/>
      <c r="G9" s="3"/>
      <c r="H9" s="3"/>
      <c r="I9" s="14"/>
      <c r="J9" s="99"/>
      <c r="K9" s="177"/>
      <c r="L9" s="99"/>
      <c r="M9" s="6"/>
      <c r="N9" s="27"/>
    </row>
    <row r="10" spans="1:14" ht="22.5" x14ac:dyDescent="0.2">
      <c r="A10" s="28"/>
      <c r="B10" s="5"/>
      <c r="C10" s="33"/>
      <c r="D10" s="3"/>
      <c r="E10" s="14">
        <v>3</v>
      </c>
      <c r="F10" s="14">
        <f>3.14*(2.45*2.45)</f>
        <v>18.847850000000005</v>
      </c>
      <c r="G10" s="14"/>
      <c r="H10" s="14">
        <v>2</v>
      </c>
      <c r="I10" s="14">
        <f>PRODUCT(E10:H10)</f>
        <v>113.08710000000002</v>
      </c>
      <c r="J10" s="99"/>
      <c r="K10" s="177"/>
      <c r="L10" s="99"/>
      <c r="M10" s="6"/>
      <c r="N10" s="27"/>
    </row>
    <row r="11" spans="1:14" ht="22.5" x14ac:dyDescent="0.2">
      <c r="A11" s="28"/>
      <c r="B11" s="5"/>
      <c r="C11" s="33" t="s">
        <v>363</v>
      </c>
      <c r="D11" s="3"/>
      <c r="E11" s="14">
        <v>3</v>
      </c>
      <c r="F11" s="14">
        <f>7.8+7.8+7.8+7.8</f>
        <v>31.2</v>
      </c>
      <c r="G11" s="14"/>
      <c r="H11" s="14">
        <v>0.5</v>
      </c>
      <c r="I11" s="14">
        <f>PRODUCT(E11:H11)</f>
        <v>46.8</v>
      </c>
      <c r="J11" s="99"/>
      <c r="K11" s="177"/>
      <c r="L11" s="99"/>
      <c r="M11" s="6"/>
      <c r="N11" s="27"/>
    </row>
    <row r="12" spans="1:14" ht="22.5" x14ac:dyDescent="0.2">
      <c r="A12" s="28"/>
      <c r="B12" s="5"/>
      <c r="C12" s="33" t="s">
        <v>387</v>
      </c>
      <c r="D12" s="3"/>
      <c r="E12" s="14">
        <v>3</v>
      </c>
      <c r="F12" s="14">
        <f>1+0.6</f>
        <v>1.6</v>
      </c>
      <c r="G12" s="14">
        <f>1+0.6</f>
        <v>1.6</v>
      </c>
      <c r="H12" s="14">
        <v>1</v>
      </c>
      <c r="I12" s="14">
        <f>PRODUCT(E12:H12)</f>
        <v>7.6800000000000015</v>
      </c>
      <c r="J12" s="99"/>
      <c r="K12" s="177"/>
      <c r="L12" s="99"/>
      <c r="M12" s="6"/>
      <c r="N12" s="27"/>
    </row>
    <row r="13" spans="1:14" ht="22.5" x14ac:dyDescent="0.2">
      <c r="A13" s="28"/>
      <c r="B13" s="5"/>
      <c r="C13" s="33"/>
      <c r="D13" s="3"/>
      <c r="E13" s="14"/>
      <c r="F13" s="14"/>
      <c r="G13" s="14"/>
      <c r="H13" s="14"/>
      <c r="I13" s="14"/>
      <c r="J13" s="99"/>
      <c r="K13" s="177"/>
      <c r="L13" s="99"/>
      <c r="M13" s="6"/>
      <c r="N13" s="27"/>
    </row>
    <row r="14" spans="1:14" ht="22.5" x14ac:dyDescent="0.2">
      <c r="A14" s="28"/>
      <c r="B14" s="5"/>
      <c r="C14" s="33" t="s">
        <v>388</v>
      </c>
      <c r="D14" s="3"/>
      <c r="E14" s="99">
        <f>(35+35+12+12)/2.5</f>
        <v>37.6</v>
      </c>
      <c r="F14" s="14">
        <f>0.6</f>
        <v>0.6</v>
      </c>
      <c r="G14" s="14">
        <f>0.6</f>
        <v>0.6</v>
      </c>
      <c r="H14" s="14">
        <v>0.6</v>
      </c>
      <c r="I14" s="14">
        <f>PRODUCT(E14:H14)</f>
        <v>8.121599999999999</v>
      </c>
      <c r="J14" s="99"/>
      <c r="K14" s="177"/>
      <c r="L14" s="99"/>
      <c r="M14" s="6"/>
      <c r="N14" s="27"/>
    </row>
    <row r="15" spans="1:14" ht="22.5" x14ac:dyDescent="0.2">
      <c r="A15" s="28"/>
      <c r="B15" s="5"/>
      <c r="C15" s="33"/>
      <c r="D15" s="3"/>
      <c r="E15" s="14"/>
      <c r="F15" s="3"/>
      <c r="G15" s="3"/>
      <c r="H15" s="3"/>
      <c r="I15" s="14"/>
      <c r="J15" s="99"/>
      <c r="K15" s="177"/>
      <c r="L15" s="99"/>
      <c r="M15" s="6"/>
      <c r="N15" s="27"/>
    </row>
    <row r="16" spans="1:14" ht="22.5" x14ac:dyDescent="0.2">
      <c r="A16" s="28"/>
      <c r="B16" s="5"/>
      <c r="C16" s="33"/>
      <c r="D16" s="3"/>
      <c r="E16" s="14"/>
      <c r="F16" s="14"/>
      <c r="G16" s="14"/>
      <c r="H16" s="14"/>
      <c r="I16" s="14"/>
      <c r="J16" s="99"/>
      <c r="K16" s="177"/>
      <c r="L16" s="99"/>
      <c r="M16" s="6"/>
      <c r="N16" s="27"/>
    </row>
    <row r="17" spans="1:14" ht="126" customHeight="1" x14ac:dyDescent="0.2">
      <c r="A17" s="28">
        <v>2</v>
      </c>
      <c r="B17" s="5">
        <v>2.7</v>
      </c>
      <c r="C17" s="33" t="s">
        <v>44</v>
      </c>
      <c r="D17" s="3"/>
      <c r="E17" s="3"/>
      <c r="F17" s="3"/>
      <c r="G17" s="3"/>
      <c r="H17" s="3"/>
      <c r="I17" s="14"/>
      <c r="J17" s="99"/>
      <c r="K17" s="177">
        <v>0</v>
      </c>
      <c r="L17" s="99">
        <f>J17*I17</f>
        <v>0</v>
      </c>
      <c r="M17" s="6"/>
      <c r="N17" s="27"/>
    </row>
    <row r="18" spans="1:14" ht="33.75" customHeight="1" x14ac:dyDescent="0.2">
      <c r="A18" s="28"/>
      <c r="B18" s="5" t="s">
        <v>45</v>
      </c>
      <c r="C18" s="33" t="s">
        <v>46</v>
      </c>
      <c r="D18" s="3" t="s">
        <v>43</v>
      </c>
      <c r="E18" s="3"/>
      <c r="F18" s="3"/>
      <c r="G18" s="3"/>
      <c r="H18" s="3"/>
      <c r="I18" s="14"/>
      <c r="J18" s="99">
        <v>412.95</v>
      </c>
      <c r="K18" s="177">
        <v>215.023065</v>
      </c>
      <c r="L18" s="99">
        <f>J18*I18</f>
        <v>0</v>
      </c>
      <c r="M18" s="6"/>
      <c r="N18" s="27"/>
    </row>
    <row r="19" spans="1:14" ht="60.75" x14ac:dyDescent="0.2">
      <c r="A19" s="28">
        <v>3</v>
      </c>
      <c r="B19" s="29">
        <v>2.2599999999999998</v>
      </c>
      <c r="C19" s="30" t="s">
        <v>47</v>
      </c>
      <c r="D19" s="31"/>
      <c r="E19" s="31"/>
      <c r="F19" s="31"/>
      <c r="G19" s="31"/>
      <c r="H19" s="31"/>
      <c r="I19" s="14"/>
      <c r="J19" s="99"/>
      <c r="K19" s="177">
        <v>0</v>
      </c>
      <c r="L19" s="99">
        <f>J19*I19</f>
        <v>0</v>
      </c>
      <c r="M19" s="6"/>
      <c r="N19" s="27"/>
    </row>
    <row r="20" spans="1:14" ht="22.5" x14ac:dyDescent="0.2">
      <c r="A20" s="28"/>
      <c r="B20" s="29" t="s">
        <v>48</v>
      </c>
      <c r="C20" s="30" t="s">
        <v>49</v>
      </c>
      <c r="D20" s="31" t="s">
        <v>50</v>
      </c>
      <c r="E20" s="143">
        <f>E10</f>
        <v>3</v>
      </c>
      <c r="F20" s="143">
        <f>F10</f>
        <v>18.847850000000005</v>
      </c>
      <c r="G20" s="31"/>
      <c r="H20" s="31">
        <v>0.5</v>
      </c>
      <c r="I20" s="14">
        <f>PRODUCT(E20:H20)</f>
        <v>28.271775000000005</v>
      </c>
      <c r="J20" s="178">
        <v>105</v>
      </c>
      <c r="K20" s="177">
        <v>91.845050000000001</v>
      </c>
      <c r="L20" s="99">
        <f>J20*I20</f>
        <v>2968.5363750000006</v>
      </c>
      <c r="M20" s="6"/>
      <c r="N20" s="27"/>
    </row>
    <row r="21" spans="1:14" ht="22.5" x14ac:dyDescent="0.2">
      <c r="A21" s="28"/>
      <c r="B21" s="29"/>
      <c r="C21" s="30"/>
      <c r="D21" s="30"/>
      <c r="E21" s="30"/>
      <c r="F21" s="30"/>
      <c r="G21" s="30"/>
      <c r="H21" s="30"/>
      <c r="I21" s="14"/>
      <c r="J21" s="178"/>
      <c r="K21" s="177"/>
      <c r="L21" s="99"/>
      <c r="M21" s="6"/>
      <c r="N21" s="27"/>
    </row>
    <row r="22" spans="1:14" ht="22.5" x14ac:dyDescent="0.2">
      <c r="A22" s="28"/>
      <c r="B22" s="29"/>
      <c r="C22" s="30"/>
      <c r="D22" s="31"/>
      <c r="E22" s="31"/>
      <c r="F22" s="31"/>
      <c r="G22" s="31"/>
      <c r="H22" s="31"/>
      <c r="I22" s="14"/>
      <c r="J22" s="178"/>
      <c r="K22" s="177"/>
      <c r="L22" s="99"/>
      <c r="M22" s="6"/>
      <c r="N22" s="27"/>
    </row>
    <row r="23" spans="1:14" ht="22.5" x14ac:dyDescent="0.2">
      <c r="A23" s="28"/>
      <c r="B23" s="29"/>
      <c r="C23" s="30"/>
      <c r="D23" s="31"/>
      <c r="E23" s="31"/>
      <c r="F23" s="31"/>
      <c r="G23" s="31"/>
      <c r="H23" s="31"/>
      <c r="I23" s="14"/>
      <c r="J23" s="178"/>
      <c r="K23" s="177"/>
      <c r="L23" s="99"/>
      <c r="M23" s="6"/>
      <c r="N23" s="27"/>
    </row>
    <row r="24" spans="1:14" ht="22.5" x14ac:dyDescent="0.2">
      <c r="A24" s="28"/>
      <c r="B24" s="29" t="s">
        <v>51</v>
      </c>
      <c r="C24" s="30" t="s">
        <v>52</v>
      </c>
      <c r="D24" s="31" t="s">
        <v>50</v>
      </c>
      <c r="E24" s="31"/>
      <c r="F24" s="31"/>
      <c r="G24" s="31"/>
      <c r="H24" s="31"/>
      <c r="I24" s="14"/>
      <c r="J24" s="178">
        <v>187</v>
      </c>
      <c r="K24" s="177">
        <v>182.56507999999999</v>
      </c>
      <c r="L24" s="99">
        <f>J24*I24</f>
        <v>0</v>
      </c>
      <c r="M24" s="6"/>
      <c r="N24" s="27"/>
    </row>
    <row r="25" spans="1:14" ht="105" x14ac:dyDescent="0.2">
      <c r="A25" s="28">
        <v>4</v>
      </c>
      <c r="B25" s="5">
        <v>2.25</v>
      </c>
      <c r="C25" s="33" t="s">
        <v>59</v>
      </c>
      <c r="D25" s="3" t="s">
        <v>60</v>
      </c>
      <c r="E25" s="3"/>
      <c r="F25" s="3"/>
      <c r="G25" s="3"/>
      <c r="H25" s="3"/>
      <c r="I25" s="14"/>
      <c r="J25" s="99">
        <v>253.95</v>
      </c>
      <c r="K25" s="177">
        <v>182.56465499999999</v>
      </c>
      <c r="L25" s="99">
        <f>J25*I25</f>
        <v>0</v>
      </c>
      <c r="M25" s="6"/>
      <c r="N25" s="27"/>
    </row>
    <row r="26" spans="1:14" ht="22.5" x14ac:dyDescent="0.2">
      <c r="A26" s="28"/>
      <c r="B26" s="5"/>
      <c r="C26" s="66"/>
      <c r="D26" s="6"/>
      <c r="E26" s="6"/>
      <c r="F26" s="6"/>
      <c r="G26" s="6"/>
      <c r="H26" s="6"/>
      <c r="I26" s="67"/>
      <c r="J26" s="99"/>
      <c r="K26" s="177"/>
      <c r="L26" s="99"/>
      <c r="M26" s="6"/>
      <c r="N26" s="27"/>
    </row>
    <row r="27" spans="1:14" ht="84" x14ac:dyDescent="0.2">
      <c r="A27" s="28">
        <v>5</v>
      </c>
      <c r="B27" s="5">
        <v>1.1000000000000001</v>
      </c>
      <c r="C27" s="33" t="s">
        <v>61</v>
      </c>
      <c r="D27" s="6"/>
      <c r="E27" s="6"/>
      <c r="F27" s="6"/>
      <c r="G27" s="6"/>
      <c r="H27" s="6"/>
      <c r="I27" s="14"/>
      <c r="J27" s="99"/>
      <c r="K27" s="177">
        <v>0</v>
      </c>
      <c r="L27" s="99">
        <f>J27*I27</f>
        <v>0</v>
      </c>
      <c r="M27" s="6"/>
      <c r="N27" s="27"/>
    </row>
    <row r="28" spans="1:14" ht="22.5" x14ac:dyDescent="0.2">
      <c r="A28" s="28"/>
      <c r="B28" s="5" t="s">
        <v>62</v>
      </c>
      <c r="C28" s="33" t="s">
        <v>63</v>
      </c>
      <c r="D28" s="3" t="s">
        <v>60</v>
      </c>
      <c r="E28" s="3"/>
      <c r="F28" s="3"/>
      <c r="G28" s="3"/>
      <c r="H28" s="3"/>
      <c r="I28" s="14">
        <f>I8</f>
        <v>175.68870000000004</v>
      </c>
      <c r="J28" s="99">
        <v>271.45</v>
      </c>
      <c r="K28" s="177">
        <v>98.563495000000003</v>
      </c>
      <c r="L28" s="99">
        <f>J28*I28</f>
        <v>47690.697615000012</v>
      </c>
      <c r="M28" s="6"/>
      <c r="N28" s="27"/>
    </row>
    <row r="29" spans="1:14" ht="22.5" x14ac:dyDescent="0.2">
      <c r="A29" s="28"/>
      <c r="B29" s="5" t="s">
        <v>64</v>
      </c>
      <c r="C29" s="33" t="s">
        <v>65</v>
      </c>
      <c r="D29" s="3" t="s">
        <v>60</v>
      </c>
      <c r="E29" s="3"/>
      <c r="F29" s="3"/>
      <c r="G29" s="3"/>
      <c r="H29" s="3"/>
      <c r="I29" s="14"/>
      <c r="J29" s="99">
        <v>434.32</v>
      </c>
      <c r="K29" s="177">
        <v>147.84252799999999</v>
      </c>
      <c r="L29" s="99">
        <f>J29*I29</f>
        <v>0</v>
      </c>
      <c r="M29" s="6"/>
      <c r="N29" s="27"/>
    </row>
    <row r="30" spans="1:14" ht="182.25" x14ac:dyDescent="0.2">
      <c r="A30" s="28">
        <v>6</v>
      </c>
      <c r="B30" s="32">
        <v>810</v>
      </c>
      <c r="C30" s="15" t="s">
        <v>308</v>
      </c>
      <c r="D30" s="3"/>
      <c r="E30" s="3"/>
      <c r="F30" s="3"/>
      <c r="G30" s="3"/>
      <c r="H30" s="3"/>
      <c r="I30" s="14"/>
      <c r="J30" s="99"/>
      <c r="K30" s="177">
        <v>0</v>
      </c>
      <c r="L30" s="99">
        <f>J30*I30</f>
        <v>0</v>
      </c>
      <c r="M30" s="6"/>
      <c r="N30" s="27"/>
    </row>
    <row r="31" spans="1:14" ht="22.5" x14ac:dyDescent="0.2">
      <c r="A31" s="28"/>
      <c r="B31" s="32">
        <v>810</v>
      </c>
      <c r="C31" s="33" t="s">
        <v>66</v>
      </c>
      <c r="D31" s="3" t="s">
        <v>60</v>
      </c>
      <c r="E31" s="3"/>
      <c r="F31" s="3"/>
      <c r="G31" s="3"/>
      <c r="H31" s="3"/>
      <c r="I31" s="14">
        <f>SUM(I32:I34)</f>
        <v>228</v>
      </c>
      <c r="J31" s="99">
        <v>500</v>
      </c>
      <c r="K31" s="177">
        <v>730.25</v>
      </c>
      <c r="L31" s="99">
        <f>J31*I31</f>
        <v>114000</v>
      </c>
      <c r="M31" s="6"/>
      <c r="N31" s="27"/>
    </row>
    <row r="32" spans="1:14" ht="22.5" x14ac:dyDescent="0.2">
      <c r="A32" s="28"/>
      <c r="B32" s="32"/>
      <c r="C32" s="33"/>
      <c r="D32" s="3"/>
      <c r="E32" s="3"/>
      <c r="F32" s="3">
        <v>12</v>
      </c>
      <c r="G32" s="3">
        <v>35</v>
      </c>
      <c r="H32" s="3">
        <v>0.4</v>
      </c>
      <c r="I32" s="14">
        <f>PRODUCT(E32:H32)</f>
        <v>168</v>
      </c>
      <c r="J32" s="99"/>
      <c r="K32" s="177"/>
      <c r="L32" s="99"/>
      <c r="M32" s="6"/>
      <c r="N32" s="27"/>
    </row>
    <row r="33" spans="1:14" ht="22.5" x14ac:dyDescent="0.2">
      <c r="A33" s="28"/>
      <c r="B33" s="32"/>
      <c r="C33" s="33" t="s">
        <v>389</v>
      </c>
      <c r="D33" s="3"/>
      <c r="E33" s="3"/>
      <c r="F33" s="3"/>
      <c r="G33" s="3"/>
      <c r="H33" s="14">
        <v>60</v>
      </c>
      <c r="I33" s="14">
        <f>PRODUCT(E33:H33)</f>
        <v>60</v>
      </c>
      <c r="J33" s="99"/>
      <c r="K33" s="177"/>
      <c r="L33" s="99"/>
      <c r="M33" s="6"/>
      <c r="N33" s="27"/>
    </row>
    <row r="34" spans="1:14" ht="22.5" x14ac:dyDescent="0.2">
      <c r="A34" s="28"/>
      <c r="B34" s="32"/>
      <c r="C34" s="33"/>
      <c r="D34" s="3"/>
      <c r="E34" s="3"/>
      <c r="F34" s="3"/>
      <c r="G34" s="3"/>
      <c r="H34" s="14"/>
      <c r="I34" s="14"/>
      <c r="J34" s="99"/>
      <c r="K34" s="177"/>
      <c r="L34" s="99"/>
      <c r="M34" s="6"/>
      <c r="N34" s="27"/>
    </row>
    <row r="35" spans="1:14" ht="22.5" x14ac:dyDescent="0.2">
      <c r="A35" s="28">
        <v>7</v>
      </c>
      <c r="B35" s="32">
        <v>982</v>
      </c>
      <c r="C35" s="33" t="s">
        <v>68</v>
      </c>
      <c r="D35" s="3" t="s">
        <v>60</v>
      </c>
      <c r="E35" s="3"/>
      <c r="F35" s="3"/>
      <c r="G35" s="3"/>
      <c r="H35" s="3"/>
      <c r="I35" s="14"/>
      <c r="J35" s="99">
        <v>1500</v>
      </c>
      <c r="K35" s="177">
        <v>3024</v>
      </c>
      <c r="L35" s="99">
        <f>J35*I35</f>
        <v>0</v>
      </c>
      <c r="M35" s="6"/>
      <c r="N35" s="27"/>
    </row>
    <row r="36" spans="1:14" ht="22.5" x14ac:dyDescent="0.2">
      <c r="A36" s="28">
        <v>8</v>
      </c>
      <c r="B36" s="5"/>
      <c r="C36" s="33" t="s">
        <v>69</v>
      </c>
      <c r="D36" s="3"/>
      <c r="E36" s="3"/>
      <c r="F36" s="3"/>
      <c r="G36" s="3"/>
      <c r="H36" s="3"/>
      <c r="I36" s="14"/>
      <c r="J36" s="99"/>
      <c r="K36" s="177"/>
      <c r="L36" s="99"/>
      <c r="M36" s="6"/>
      <c r="N36" s="27"/>
    </row>
    <row r="37" spans="1:14" ht="36" customHeight="1" x14ac:dyDescent="0.2">
      <c r="A37" s="28"/>
      <c r="B37" s="5" t="s">
        <v>70</v>
      </c>
      <c r="C37" s="571" t="s">
        <v>71</v>
      </c>
      <c r="D37" s="14"/>
      <c r="E37" s="14"/>
      <c r="F37" s="14"/>
      <c r="G37" s="14"/>
      <c r="H37" s="14"/>
      <c r="I37" s="14"/>
      <c r="J37" s="99"/>
      <c r="K37" s="177"/>
      <c r="L37" s="99"/>
      <c r="M37" s="6"/>
      <c r="N37" s="27"/>
    </row>
    <row r="38" spans="1:14" ht="22.5" x14ac:dyDescent="0.2">
      <c r="A38" s="28"/>
      <c r="B38" s="5"/>
      <c r="C38" s="571"/>
      <c r="D38" s="14"/>
      <c r="E38" s="14"/>
      <c r="F38" s="14"/>
      <c r="G38" s="14"/>
      <c r="H38" s="14"/>
      <c r="I38" s="14"/>
      <c r="J38" s="99"/>
      <c r="K38" s="177">
        <v>0</v>
      </c>
      <c r="L38" s="99"/>
      <c r="M38" s="6"/>
      <c r="N38" s="27"/>
    </row>
    <row r="39" spans="1:14" ht="22.5" x14ac:dyDescent="0.2">
      <c r="A39" s="28"/>
      <c r="B39" s="5"/>
      <c r="C39" s="33" t="s">
        <v>72</v>
      </c>
      <c r="D39" s="3" t="s">
        <v>73</v>
      </c>
      <c r="E39" s="3"/>
      <c r="F39" s="3"/>
      <c r="G39" s="3"/>
      <c r="H39" s="3" t="s">
        <v>309</v>
      </c>
      <c r="I39" s="14">
        <f>SUM(I40:I41)</f>
        <v>0</v>
      </c>
      <c r="J39" s="99">
        <v>53</v>
      </c>
      <c r="K39" s="177">
        <v>110.8813</v>
      </c>
      <c r="L39" s="99">
        <f>J39*I39</f>
        <v>0</v>
      </c>
      <c r="M39" s="6"/>
      <c r="N39" s="27"/>
    </row>
    <row r="40" spans="1:14" ht="22.5" x14ac:dyDescent="0.2">
      <c r="A40" s="28"/>
      <c r="B40" s="5"/>
      <c r="C40" s="33"/>
      <c r="D40" s="3"/>
      <c r="E40" s="3"/>
      <c r="F40" s="3"/>
      <c r="G40" s="3"/>
      <c r="H40" s="3"/>
      <c r="I40" s="14">
        <f>PRODUCT(E40:H40)</f>
        <v>0</v>
      </c>
      <c r="J40" s="99"/>
      <c r="K40" s="177"/>
      <c r="L40" s="99"/>
      <c r="M40" s="6"/>
      <c r="N40" s="27"/>
    </row>
    <row r="41" spans="1:14" ht="22.5" x14ac:dyDescent="0.2">
      <c r="A41" s="28"/>
      <c r="B41" s="5"/>
      <c r="C41" s="33"/>
      <c r="D41" s="3"/>
      <c r="E41" s="3"/>
      <c r="F41" s="3"/>
      <c r="G41" s="3"/>
      <c r="H41" s="3"/>
      <c r="I41" s="14"/>
      <c r="J41" s="99"/>
      <c r="K41" s="177"/>
      <c r="L41" s="99"/>
      <c r="M41" s="6"/>
      <c r="N41" s="27"/>
    </row>
    <row r="42" spans="1:14" ht="63" x14ac:dyDescent="0.2">
      <c r="A42" s="28">
        <v>9</v>
      </c>
      <c r="B42" s="5">
        <v>4.0999999999999996</v>
      </c>
      <c r="C42" s="33" t="s">
        <v>74</v>
      </c>
      <c r="D42" s="3"/>
      <c r="E42" s="3"/>
      <c r="F42" s="3"/>
      <c r="G42" s="3"/>
      <c r="H42" s="3"/>
      <c r="I42" s="14"/>
      <c r="J42" s="99"/>
      <c r="K42" s="177"/>
      <c r="L42" s="99">
        <f>J42*I42</f>
        <v>0</v>
      </c>
      <c r="M42" s="6"/>
      <c r="N42" s="27"/>
    </row>
    <row r="43" spans="1:14" ht="84" x14ac:dyDescent="0.2">
      <c r="A43" s="28"/>
      <c r="B43" s="5" t="s">
        <v>75</v>
      </c>
      <c r="C43" s="33" t="s">
        <v>76</v>
      </c>
      <c r="D43" s="3" t="s">
        <v>43</v>
      </c>
      <c r="E43" s="3"/>
      <c r="F43" s="3"/>
      <c r="G43" s="3"/>
      <c r="H43" s="3" t="s">
        <v>309</v>
      </c>
      <c r="I43" s="14">
        <f>SUM(I44:I47)</f>
        <v>22.163999999999998</v>
      </c>
      <c r="J43" s="99">
        <v>6833.4</v>
      </c>
      <c r="K43" s="177">
        <v>4811.3969399999996</v>
      </c>
      <c r="L43" s="99">
        <f>J43*I43</f>
        <v>151455.47759999998</v>
      </c>
      <c r="M43" s="6"/>
      <c r="N43" s="27"/>
    </row>
    <row r="44" spans="1:14" ht="22.5" x14ac:dyDescent="0.2">
      <c r="A44" s="28"/>
      <c r="B44" s="5"/>
      <c r="C44" s="33" t="s">
        <v>332</v>
      </c>
      <c r="D44" s="3"/>
      <c r="E44" s="3">
        <v>3</v>
      </c>
      <c r="F44" s="14">
        <v>7.8</v>
      </c>
      <c r="G44" s="14">
        <v>7.8</v>
      </c>
      <c r="H44" s="14">
        <v>0.1</v>
      </c>
      <c r="I44" s="14">
        <f>PRODUCT(E44:H44)</f>
        <v>18.251999999999999</v>
      </c>
      <c r="J44" s="99"/>
      <c r="K44" s="177"/>
      <c r="L44" s="99"/>
      <c r="M44" s="6"/>
      <c r="N44" s="27"/>
    </row>
    <row r="45" spans="1:14" ht="22.5" x14ac:dyDescent="0.2">
      <c r="A45" s="28"/>
      <c r="B45" s="5"/>
      <c r="C45" s="33" t="s">
        <v>387</v>
      </c>
      <c r="D45" s="3"/>
      <c r="E45" s="99">
        <v>3</v>
      </c>
      <c r="F45" s="14">
        <f>1+0.2</f>
        <v>1.2</v>
      </c>
      <c r="G45" s="14">
        <f>1+0.2</f>
        <v>1.2</v>
      </c>
      <c r="H45" s="14">
        <v>0.1</v>
      </c>
      <c r="I45" s="14">
        <f>PRODUCT(E45:H45)</f>
        <v>0.43199999999999994</v>
      </c>
      <c r="J45" s="99"/>
      <c r="K45" s="177"/>
      <c r="L45" s="99"/>
      <c r="M45" s="6"/>
      <c r="N45" s="27"/>
    </row>
    <row r="46" spans="1:14" ht="22.5" x14ac:dyDescent="0.2">
      <c r="A46" s="28"/>
      <c r="B46" s="5"/>
      <c r="C46" s="33" t="s">
        <v>346</v>
      </c>
      <c r="D46" s="3"/>
      <c r="E46" s="3"/>
      <c r="F46" s="14">
        <v>8.6999999999999993</v>
      </c>
      <c r="G46" s="14">
        <v>4</v>
      </c>
      <c r="H46" s="14">
        <v>0.1</v>
      </c>
      <c r="I46" s="14">
        <f>PRODUCT(E46:H46)</f>
        <v>3.48</v>
      </c>
      <c r="J46" s="99"/>
      <c r="K46" s="177"/>
      <c r="L46" s="99"/>
      <c r="M46" s="6"/>
      <c r="N46" s="27"/>
    </row>
    <row r="47" spans="1:14" ht="22.5" x14ac:dyDescent="0.2">
      <c r="A47" s="28"/>
      <c r="B47" s="5"/>
      <c r="C47" s="33"/>
      <c r="D47" s="3"/>
      <c r="E47" s="99"/>
      <c r="F47" s="3"/>
      <c r="G47" s="3"/>
      <c r="H47" s="3"/>
      <c r="I47" s="14"/>
      <c r="J47" s="99"/>
      <c r="K47" s="177"/>
      <c r="L47" s="99"/>
      <c r="M47" s="6"/>
      <c r="N47" s="27"/>
    </row>
    <row r="48" spans="1:14" ht="189" x14ac:dyDescent="0.2">
      <c r="A48" s="28">
        <v>10</v>
      </c>
      <c r="B48" s="5">
        <v>16.79</v>
      </c>
      <c r="C48" s="33" t="s">
        <v>77</v>
      </c>
      <c r="D48" s="3" t="s">
        <v>43</v>
      </c>
      <c r="E48" s="3"/>
      <c r="F48" s="3"/>
      <c r="G48" s="3"/>
      <c r="H48" s="3" t="s">
        <v>309</v>
      </c>
      <c r="I48" s="14">
        <f>SUM(I49:I52)</f>
        <v>63</v>
      </c>
      <c r="J48" s="99">
        <v>2803.65</v>
      </c>
      <c r="K48" s="177">
        <v>1985.8252950000001</v>
      </c>
      <c r="L48" s="99">
        <f>J48*I48</f>
        <v>176629.95</v>
      </c>
      <c r="M48" s="6"/>
      <c r="N48" s="27"/>
    </row>
    <row r="49" spans="1:14" ht="22.5" x14ac:dyDescent="0.2">
      <c r="A49" s="28"/>
      <c r="B49" s="5"/>
      <c r="C49" s="33"/>
      <c r="D49" s="3"/>
      <c r="E49" s="3"/>
      <c r="F49" s="3">
        <v>12</v>
      </c>
      <c r="G49" s="3">
        <v>35</v>
      </c>
      <c r="H49" s="3">
        <v>0.15</v>
      </c>
      <c r="I49" s="14">
        <f>PRODUCT(E49:H49)</f>
        <v>63</v>
      </c>
      <c r="J49" s="99"/>
      <c r="K49" s="177"/>
      <c r="L49" s="99"/>
      <c r="M49" s="6"/>
      <c r="N49" s="27"/>
    </row>
    <row r="50" spans="1:14" ht="22.5" x14ac:dyDescent="0.2">
      <c r="A50" s="28"/>
      <c r="B50" s="5"/>
      <c r="C50" s="33"/>
      <c r="D50" s="3"/>
      <c r="E50" s="3"/>
      <c r="F50" s="3"/>
      <c r="G50" s="3"/>
      <c r="H50" s="3"/>
      <c r="I50" s="14"/>
      <c r="J50" s="99"/>
      <c r="K50" s="177"/>
      <c r="L50" s="99"/>
      <c r="M50" s="6"/>
      <c r="N50" s="27"/>
    </row>
    <row r="51" spans="1:14" ht="22.5" x14ac:dyDescent="0.2">
      <c r="A51" s="28"/>
      <c r="B51" s="5"/>
      <c r="C51" s="33"/>
      <c r="D51" s="3"/>
      <c r="E51" s="3"/>
      <c r="F51" s="3"/>
      <c r="G51" s="3"/>
      <c r="H51" s="3"/>
      <c r="I51" s="14"/>
      <c r="J51" s="99"/>
      <c r="K51" s="177"/>
      <c r="L51" s="99"/>
      <c r="M51" s="6"/>
      <c r="N51" s="27"/>
    </row>
    <row r="52" spans="1:14" ht="22.5" x14ac:dyDescent="0.2">
      <c r="A52" s="28"/>
      <c r="B52" s="5"/>
      <c r="C52" s="33"/>
      <c r="D52" s="3"/>
      <c r="E52" s="3"/>
      <c r="F52" s="3"/>
      <c r="G52" s="3"/>
      <c r="H52" s="3"/>
      <c r="I52" s="14"/>
      <c r="J52" s="99"/>
      <c r="K52" s="177"/>
      <c r="L52" s="99"/>
      <c r="M52" s="6"/>
      <c r="N52" s="27"/>
    </row>
    <row r="53" spans="1:14" ht="42" x14ac:dyDescent="0.2">
      <c r="A53" s="28">
        <v>11</v>
      </c>
      <c r="B53" s="5" t="s">
        <v>207</v>
      </c>
      <c r="C53" s="33" t="s">
        <v>79</v>
      </c>
      <c r="D53" s="3" t="s">
        <v>73</v>
      </c>
      <c r="E53" s="3"/>
      <c r="F53" s="3"/>
      <c r="G53" s="3"/>
      <c r="H53" s="3"/>
      <c r="I53" s="14">
        <f>SUM(I54:I55)</f>
        <v>420</v>
      </c>
      <c r="J53" s="99">
        <v>120</v>
      </c>
      <c r="K53" s="177">
        <v>151.19999999999999</v>
      </c>
      <c r="L53" s="99">
        <f>J53*I53</f>
        <v>50400</v>
      </c>
      <c r="M53" s="6"/>
      <c r="N53" s="27"/>
    </row>
    <row r="54" spans="1:14" ht="22.5" x14ac:dyDescent="0.2">
      <c r="A54" s="28"/>
      <c r="B54" s="5"/>
      <c r="C54" s="33"/>
      <c r="D54" s="3"/>
      <c r="E54" s="3"/>
      <c r="F54" s="3">
        <v>12</v>
      </c>
      <c r="G54" s="3">
        <v>35</v>
      </c>
      <c r="H54" s="3"/>
      <c r="I54" s="14">
        <f>PRODUCT(E54:H54)</f>
        <v>420</v>
      </c>
      <c r="J54" s="99"/>
      <c r="K54" s="177"/>
      <c r="L54" s="99"/>
      <c r="M54" s="6"/>
      <c r="N54" s="27"/>
    </row>
    <row r="55" spans="1:14" ht="22.5" x14ac:dyDescent="0.2">
      <c r="A55" s="28"/>
      <c r="B55" s="5"/>
      <c r="C55" s="33"/>
      <c r="D55" s="3"/>
      <c r="E55" s="3"/>
      <c r="F55" s="3"/>
      <c r="G55" s="3"/>
      <c r="H55" s="3"/>
      <c r="I55" s="14"/>
      <c r="J55" s="99"/>
      <c r="K55" s="177"/>
      <c r="L55" s="99"/>
      <c r="M55" s="6"/>
      <c r="N55" s="27"/>
    </row>
    <row r="56" spans="1:14" ht="42" x14ac:dyDescent="0.2">
      <c r="A56" s="28">
        <v>12</v>
      </c>
      <c r="B56" s="5">
        <v>5.9</v>
      </c>
      <c r="C56" s="33" t="s">
        <v>80</v>
      </c>
      <c r="D56" s="3"/>
      <c r="E56" s="3"/>
      <c r="F56" s="3"/>
      <c r="G56" s="3"/>
      <c r="H56" s="3"/>
      <c r="I56" s="14"/>
      <c r="J56" s="99"/>
      <c r="K56" s="177"/>
      <c r="L56" s="99">
        <f>J56*I56</f>
        <v>0</v>
      </c>
      <c r="M56" s="6"/>
      <c r="N56" s="27"/>
    </row>
    <row r="57" spans="1:14" ht="84" x14ac:dyDescent="0.2">
      <c r="A57" s="28"/>
      <c r="B57" s="5" t="s">
        <v>81</v>
      </c>
      <c r="C57" s="33" t="s">
        <v>310</v>
      </c>
      <c r="D57" s="3" t="s">
        <v>73</v>
      </c>
      <c r="E57" s="3"/>
      <c r="F57" s="3"/>
      <c r="G57" s="3"/>
      <c r="H57" s="3" t="s">
        <v>309</v>
      </c>
      <c r="I57" s="14">
        <f>SUM(I58:I70)</f>
        <v>533.22149999999988</v>
      </c>
      <c r="J57" s="99">
        <v>307.95</v>
      </c>
      <c r="K57" s="177">
        <v>684.32649000000004</v>
      </c>
      <c r="L57" s="99">
        <f>J57*I57</f>
        <v>164205.56092499997</v>
      </c>
      <c r="M57" s="6"/>
      <c r="N57" s="27"/>
    </row>
    <row r="58" spans="1:14" ht="22.5" x14ac:dyDescent="0.2">
      <c r="A58" s="28"/>
      <c r="B58" s="5"/>
      <c r="C58" s="3" t="str">
        <f>C80</f>
        <v xml:space="preserve">FOOTING </v>
      </c>
      <c r="D58" s="3"/>
      <c r="E58" s="3">
        <f>E80</f>
        <v>3</v>
      </c>
      <c r="F58" s="34">
        <f>F80+G80</f>
        <v>13.752000000000001</v>
      </c>
      <c r="G58" s="3">
        <v>2</v>
      </c>
      <c r="H58" s="3">
        <f>H80</f>
        <v>3</v>
      </c>
      <c r="I58" s="14">
        <f>PRODUCT(E58:H58)</f>
        <v>247.536</v>
      </c>
      <c r="J58" s="99"/>
      <c r="K58" s="177"/>
      <c r="L58" s="99"/>
      <c r="M58" s="6"/>
      <c r="N58" s="27"/>
    </row>
    <row r="59" spans="1:14" ht="22.5" x14ac:dyDescent="0.2">
      <c r="A59" s="28"/>
      <c r="B59" s="5"/>
      <c r="C59" s="3"/>
      <c r="D59" s="3"/>
      <c r="E59" s="3"/>
      <c r="F59" s="3"/>
      <c r="G59" s="3"/>
      <c r="H59" s="3"/>
      <c r="I59" s="14"/>
      <c r="J59" s="99"/>
      <c r="K59" s="177"/>
      <c r="L59" s="99"/>
      <c r="M59" s="6"/>
      <c r="N59" s="27"/>
    </row>
    <row r="60" spans="1:14" ht="22.5" x14ac:dyDescent="0.2">
      <c r="A60" s="28"/>
      <c r="B60" s="5"/>
      <c r="C60" s="3" t="str">
        <f t="shared" ref="C60:C67" si="0">C82</f>
        <v xml:space="preserve">WALL </v>
      </c>
      <c r="D60" s="3"/>
      <c r="E60" s="3">
        <f>E82</f>
        <v>3</v>
      </c>
      <c r="F60" s="3">
        <f>F82</f>
        <v>31.2</v>
      </c>
      <c r="G60" s="3">
        <v>2</v>
      </c>
      <c r="H60" s="3">
        <f t="shared" ref="H60:H65" si="1">H82</f>
        <v>1.2</v>
      </c>
      <c r="I60" s="14">
        <f t="shared" ref="I60:I65" si="2">PRODUCT(E60:H60)</f>
        <v>224.64</v>
      </c>
      <c r="J60" s="99"/>
      <c r="K60" s="177"/>
      <c r="L60" s="99"/>
      <c r="M60" s="6"/>
      <c r="N60" s="27"/>
    </row>
    <row r="61" spans="1:14" ht="22.5" x14ac:dyDescent="0.2">
      <c r="A61" s="28"/>
      <c r="B61" s="5"/>
      <c r="C61" s="3" t="str">
        <f t="shared" si="0"/>
        <v xml:space="preserve">OIL TRAP </v>
      </c>
      <c r="D61" s="3"/>
      <c r="E61" s="3">
        <f>E83</f>
        <v>3</v>
      </c>
      <c r="F61" s="3">
        <v>4</v>
      </c>
      <c r="G61" s="3"/>
      <c r="H61" s="3">
        <f t="shared" si="1"/>
        <v>0.15</v>
      </c>
      <c r="I61" s="14">
        <f t="shared" si="2"/>
        <v>1.7999999999999998</v>
      </c>
      <c r="J61" s="99"/>
      <c r="K61" s="177"/>
      <c r="L61" s="99"/>
      <c r="M61" s="6"/>
      <c r="N61" s="27"/>
    </row>
    <row r="62" spans="1:14" ht="22.5" x14ac:dyDescent="0.2">
      <c r="A62" s="28"/>
      <c r="B62" s="5"/>
      <c r="C62" s="3" t="str">
        <f t="shared" si="0"/>
        <v xml:space="preserve">WALL </v>
      </c>
      <c r="D62" s="3"/>
      <c r="E62" s="3">
        <f>E84</f>
        <v>3</v>
      </c>
      <c r="F62" s="3">
        <f>F84</f>
        <v>4</v>
      </c>
      <c r="G62" s="3">
        <f>G84</f>
        <v>0.2</v>
      </c>
      <c r="H62" s="3">
        <f t="shared" si="1"/>
        <v>1</v>
      </c>
      <c r="I62" s="14">
        <f t="shared" si="2"/>
        <v>2.4000000000000004</v>
      </c>
      <c r="J62" s="99"/>
      <c r="K62" s="177"/>
      <c r="L62" s="99"/>
      <c r="M62" s="6"/>
      <c r="N62" s="27"/>
    </row>
    <row r="63" spans="1:14" ht="22.5" x14ac:dyDescent="0.2">
      <c r="A63" s="28"/>
      <c r="B63" s="5"/>
      <c r="C63" s="3" t="str">
        <f t="shared" si="0"/>
        <v xml:space="preserve">ROAD </v>
      </c>
      <c r="D63" s="3"/>
      <c r="E63" s="3"/>
      <c r="F63" s="3">
        <f>F85</f>
        <v>8.6999999999999993</v>
      </c>
      <c r="G63" s="3">
        <v>2</v>
      </c>
      <c r="H63" s="3">
        <f t="shared" si="1"/>
        <v>0.2</v>
      </c>
      <c r="I63" s="14">
        <f t="shared" si="2"/>
        <v>3.48</v>
      </c>
      <c r="J63" s="99"/>
      <c r="K63" s="177"/>
      <c r="L63" s="99"/>
      <c r="M63" s="6"/>
      <c r="N63" s="27"/>
    </row>
    <row r="64" spans="1:14" ht="22.5" x14ac:dyDescent="0.2">
      <c r="A64" s="28"/>
      <c r="B64" s="5"/>
      <c r="C64" s="3" t="str">
        <f t="shared" si="0"/>
        <v xml:space="preserve">COPING </v>
      </c>
      <c r="D64" s="3"/>
      <c r="E64" s="3">
        <f>E86</f>
        <v>3</v>
      </c>
      <c r="F64" s="3">
        <f>F86</f>
        <v>9</v>
      </c>
      <c r="G64" s="3">
        <v>2</v>
      </c>
      <c r="H64" s="3">
        <f t="shared" si="1"/>
        <v>0.1</v>
      </c>
      <c r="I64" s="14">
        <f t="shared" si="2"/>
        <v>5.4</v>
      </c>
      <c r="J64" s="99"/>
      <c r="K64" s="177"/>
      <c r="L64" s="99"/>
      <c r="M64" s="6"/>
      <c r="N64" s="27"/>
    </row>
    <row r="65" spans="1:14" ht="22.5" x14ac:dyDescent="0.2">
      <c r="A65" s="28"/>
      <c r="B65" s="5"/>
      <c r="C65" s="3" t="str">
        <f t="shared" si="0"/>
        <v xml:space="preserve">COLUMN CONCRETE </v>
      </c>
      <c r="D65" s="3"/>
      <c r="E65" s="3">
        <f>E87</f>
        <v>37.6</v>
      </c>
      <c r="F65" s="34">
        <f>F87+G87</f>
        <v>0.9</v>
      </c>
      <c r="G65" s="3">
        <v>2</v>
      </c>
      <c r="H65" s="3">
        <f t="shared" si="1"/>
        <v>0.6</v>
      </c>
      <c r="I65" s="14">
        <f t="shared" si="2"/>
        <v>40.608000000000004</v>
      </c>
      <c r="J65" s="99"/>
      <c r="K65" s="177"/>
      <c r="L65" s="99"/>
      <c r="M65" s="6"/>
      <c r="N65" s="27"/>
    </row>
    <row r="66" spans="1:14" ht="22.5" x14ac:dyDescent="0.2">
      <c r="A66" s="28"/>
      <c r="B66" s="5"/>
      <c r="C66" s="3" t="str">
        <f t="shared" si="0"/>
        <v xml:space="preserve">STEPS </v>
      </c>
      <c r="D66" s="3"/>
      <c r="E66" s="3"/>
      <c r="F66" s="3"/>
      <c r="G66" s="3"/>
      <c r="H66" s="3"/>
      <c r="I66" s="14"/>
      <c r="J66" s="99"/>
      <c r="K66" s="177"/>
      <c r="L66" s="99"/>
      <c r="M66" s="6"/>
      <c r="N66" s="27"/>
    </row>
    <row r="67" spans="1:14" ht="22.5" x14ac:dyDescent="0.2">
      <c r="A67" s="28"/>
      <c r="B67" s="5"/>
      <c r="C67" s="3" t="str">
        <f t="shared" si="0"/>
        <v xml:space="preserve">LANDING </v>
      </c>
      <c r="D67" s="3"/>
      <c r="E67" s="3">
        <f>E89</f>
        <v>1</v>
      </c>
      <c r="F67" s="3">
        <f>F89</f>
        <v>0.75</v>
      </c>
      <c r="G67" s="3">
        <f>G89</f>
        <v>1.65</v>
      </c>
      <c r="H67" s="3"/>
      <c r="I67" s="14">
        <f>PRODUCT(E67:H67)</f>
        <v>1.2374999999999998</v>
      </c>
      <c r="J67" s="99"/>
      <c r="K67" s="177"/>
      <c r="L67" s="99"/>
      <c r="M67" s="6"/>
      <c r="N67" s="27"/>
    </row>
    <row r="68" spans="1:14" ht="22.5" x14ac:dyDescent="0.2">
      <c r="A68" s="28"/>
      <c r="B68" s="5"/>
      <c r="C68" s="3"/>
      <c r="D68" s="3"/>
      <c r="E68" s="3">
        <f>E90</f>
        <v>8</v>
      </c>
      <c r="F68" s="3">
        <f>F90</f>
        <v>1.2</v>
      </c>
      <c r="G68" s="3">
        <v>0.17499999999999999</v>
      </c>
      <c r="H68" s="3"/>
      <c r="I68" s="14">
        <f>PRODUCT(E68:H68)</f>
        <v>1.68</v>
      </c>
      <c r="J68" s="99"/>
      <c r="K68" s="177"/>
      <c r="L68" s="99"/>
      <c r="M68" s="6"/>
      <c r="N68" s="27"/>
    </row>
    <row r="69" spans="1:14" ht="22.5" x14ac:dyDescent="0.2">
      <c r="A69" s="28"/>
      <c r="B69" s="5"/>
      <c r="C69" s="3" t="str">
        <f>C91</f>
        <v xml:space="preserve">WAIST SLAB </v>
      </c>
      <c r="D69" s="3"/>
      <c r="E69" s="3"/>
      <c r="F69" s="3">
        <f>F91</f>
        <v>2.1</v>
      </c>
      <c r="G69" s="3">
        <f>G91</f>
        <v>1.2</v>
      </c>
      <c r="H69" s="3"/>
      <c r="I69" s="14">
        <f>PRODUCT(E69:H69)</f>
        <v>2.52</v>
      </c>
      <c r="J69" s="99"/>
      <c r="K69" s="177"/>
      <c r="L69" s="99"/>
      <c r="M69" s="6"/>
      <c r="N69" s="27"/>
    </row>
    <row r="70" spans="1:14" ht="22.5" x14ac:dyDescent="0.2">
      <c r="A70" s="28"/>
      <c r="B70" s="5"/>
      <c r="C70" s="3" t="str">
        <f>C92</f>
        <v xml:space="preserve">LANDING BEAM </v>
      </c>
      <c r="D70" s="3"/>
      <c r="E70" s="3">
        <f>E92</f>
        <v>2</v>
      </c>
      <c r="F70" s="3">
        <f>F92</f>
        <v>1.2</v>
      </c>
      <c r="G70" s="3">
        <v>2</v>
      </c>
      <c r="H70" s="3">
        <f>H92</f>
        <v>0.4</v>
      </c>
      <c r="I70" s="14">
        <f>PRODUCT(E70:H70)</f>
        <v>1.92</v>
      </c>
      <c r="J70" s="99"/>
      <c r="K70" s="177"/>
      <c r="L70" s="99"/>
      <c r="M70" s="6"/>
      <c r="N70" s="27"/>
    </row>
    <row r="71" spans="1:14" ht="22.5" x14ac:dyDescent="0.2">
      <c r="A71" s="28"/>
      <c r="B71" s="5"/>
      <c r="C71" s="3"/>
      <c r="D71" s="3"/>
      <c r="E71" s="99"/>
      <c r="F71" s="99"/>
      <c r="G71" s="3"/>
      <c r="H71" s="3"/>
      <c r="I71" s="14"/>
      <c r="J71" s="99"/>
      <c r="K71" s="177"/>
      <c r="L71" s="99"/>
      <c r="M71" s="6"/>
      <c r="N71" s="27"/>
    </row>
    <row r="72" spans="1:14" ht="147" x14ac:dyDescent="0.2">
      <c r="A72" s="28"/>
      <c r="B72" s="5" t="s">
        <v>83</v>
      </c>
      <c r="C72" s="33" t="s">
        <v>84</v>
      </c>
      <c r="D72" s="3" t="s">
        <v>73</v>
      </c>
      <c r="E72" s="3"/>
      <c r="F72" s="3"/>
      <c r="G72" s="3"/>
      <c r="H72" s="3" t="s">
        <v>309</v>
      </c>
      <c r="I72" s="14"/>
      <c r="J72" s="99">
        <v>669.55</v>
      </c>
      <c r="K72" s="177">
        <v>806.40602000000001</v>
      </c>
      <c r="L72" s="99">
        <f>J72*I72</f>
        <v>0</v>
      </c>
      <c r="M72" s="6"/>
      <c r="N72" s="27"/>
    </row>
    <row r="73" spans="1:14" ht="22.5" x14ac:dyDescent="0.2">
      <c r="A73" s="28"/>
      <c r="B73" s="5"/>
      <c r="C73" s="33"/>
      <c r="D73" s="3"/>
      <c r="E73" s="3"/>
      <c r="F73" s="3"/>
      <c r="G73" s="3"/>
      <c r="H73" s="3"/>
      <c r="I73" s="14"/>
      <c r="J73" s="99"/>
      <c r="K73" s="177"/>
      <c r="L73" s="99"/>
      <c r="M73" s="6"/>
      <c r="N73" s="27"/>
    </row>
    <row r="74" spans="1:14" x14ac:dyDescent="0.2">
      <c r="A74" s="28"/>
      <c r="B74" s="139">
        <v>1034</v>
      </c>
      <c r="C74" s="140" t="s">
        <v>205</v>
      </c>
      <c r="D74" s="141" t="s">
        <v>206</v>
      </c>
      <c r="E74" s="141"/>
      <c r="F74" s="142"/>
      <c r="G74" s="3"/>
      <c r="H74" s="3">
        <v>0.5</v>
      </c>
      <c r="I74" s="14">
        <f>H74</f>
        <v>0.5</v>
      </c>
      <c r="J74" s="179">
        <v>5200</v>
      </c>
      <c r="K74" s="177"/>
      <c r="L74" s="99">
        <f>J74*I74</f>
        <v>2600</v>
      </c>
      <c r="M74" s="6"/>
      <c r="N74" s="27"/>
    </row>
    <row r="75" spans="1:14" ht="22.5" x14ac:dyDescent="0.2">
      <c r="A75" s="28"/>
      <c r="B75" s="5"/>
      <c r="C75" s="3"/>
      <c r="D75" s="3"/>
      <c r="E75" s="3"/>
      <c r="F75" s="3"/>
      <c r="G75" s="3"/>
      <c r="H75" s="3"/>
      <c r="I75" s="14"/>
      <c r="J75" s="99"/>
      <c r="K75" s="177"/>
      <c r="L75" s="99"/>
      <c r="M75" s="6"/>
      <c r="N75" s="27"/>
    </row>
    <row r="76" spans="1:14" ht="22.5" x14ac:dyDescent="0.2">
      <c r="A76" s="28"/>
      <c r="B76" s="5"/>
      <c r="C76" s="3"/>
      <c r="D76" s="3"/>
      <c r="E76" s="3"/>
      <c r="F76" s="3"/>
      <c r="G76" s="3"/>
      <c r="H76" s="3"/>
      <c r="I76" s="14"/>
      <c r="J76" s="99"/>
      <c r="K76" s="177"/>
      <c r="L76" s="99"/>
      <c r="M76" s="6"/>
      <c r="N76" s="27"/>
    </row>
    <row r="77" spans="1:14" ht="409.5" x14ac:dyDescent="0.2">
      <c r="A77" s="28">
        <v>13</v>
      </c>
      <c r="B77" s="5">
        <v>5.33</v>
      </c>
      <c r="C77" s="33" t="s">
        <v>312</v>
      </c>
      <c r="D77" s="3"/>
      <c r="E77" s="3"/>
      <c r="F77" s="3"/>
      <c r="G77" s="3"/>
      <c r="H77" s="3"/>
      <c r="I77" s="14"/>
      <c r="J77" s="99"/>
      <c r="K77" s="177"/>
      <c r="L77" s="99">
        <f>J77*I77</f>
        <v>0</v>
      </c>
      <c r="M77" s="6"/>
      <c r="N77" s="27"/>
    </row>
    <row r="78" spans="1:14" ht="22.5" x14ac:dyDescent="0.2">
      <c r="A78" s="28"/>
      <c r="B78" s="5" t="s">
        <v>100</v>
      </c>
      <c r="C78" s="33" t="s">
        <v>101</v>
      </c>
      <c r="D78" s="3"/>
      <c r="E78" s="3"/>
      <c r="F78" s="3"/>
      <c r="G78" s="3"/>
      <c r="H78" s="3"/>
      <c r="I78" s="14"/>
      <c r="J78" s="99"/>
      <c r="K78" s="177"/>
      <c r="L78" s="99">
        <f>J78*I78</f>
        <v>0</v>
      </c>
      <c r="M78" s="6"/>
      <c r="N78" s="27"/>
    </row>
    <row r="79" spans="1:14" ht="42" x14ac:dyDescent="0.2">
      <c r="A79" s="28"/>
      <c r="B79" s="5" t="s">
        <v>102</v>
      </c>
      <c r="C79" s="33" t="s">
        <v>313</v>
      </c>
      <c r="D79" s="3" t="s">
        <v>43</v>
      </c>
      <c r="E79" s="3"/>
      <c r="F79" s="3"/>
      <c r="G79" s="3"/>
      <c r="H79" s="3" t="s">
        <v>309</v>
      </c>
      <c r="I79" s="14">
        <f>SUM(I80:I92)</f>
        <v>96.149587499999981</v>
      </c>
      <c r="J79" s="99">
        <v>7997.3</v>
      </c>
      <c r="K79" s="177">
        <v>6051.5569100000002</v>
      </c>
      <c r="L79" s="99">
        <f>J79*I79</f>
        <v>768937.0961137499</v>
      </c>
      <c r="M79" s="6"/>
      <c r="N79" s="27"/>
    </row>
    <row r="80" spans="1:14" ht="22.5" x14ac:dyDescent="0.2">
      <c r="A80" s="28"/>
      <c r="B80" s="5"/>
      <c r="C80" s="33" t="s">
        <v>333</v>
      </c>
      <c r="D80" s="3"/>
      <c r="E80" s="3">
        <v>3</v>
      </c>
      <c r="F80" s="14">
        <f>2*3.14*2.15</f>
        <v>13.502000000000001</v>
      </c>
      <c r="G80" s="2">
        <v>0.25</v>
      </c>
      <c r="H80" s="3">
        <v>3</v>
      </c>
      <c r="I80" s="14">
        <f t="shared" ref="I80:I87" si="3">PRODUCT(E80:H80)</f>
        <v>30.3795</v>
      </c>
      <c r="J80" s="99"/>
      <c r="K80" s="177"/>
      <c r="L80" s="99"/>
      <c r="M80" s="6"/>
      <c r="N80" s="27"/>
    </row>
    <row r="81" spans="1:14" ht="22.5" x14ac:dyDescent="0.2">
      <c r="A81" s="28"/>
      <c r="B81" s="5"/>
      <c r="C81" s="33" t="s">
        <v>381</v>
      </c>
      <c r="D81" s="3"/>
      <c r="E81" s="14">
        <f>E44</f>
        <v>3</v>
      </c>
      <c r="F81" s="14">
        <f>F44</f>
        <v>7.8</v>
      </c>
      <c r="G81" s="14">
        <f>G44</f>
        <v>7.8</v>
      </c>
      <c r="H81" s="3">
        <v>0.15</v>
      </c>
      <c r="I81" s="14">
        <f t="shared" si="3"/>
        <v>27.377999999999997</v>
      </c>
      <c r="J81" s="99"/>
      <c r="K81" s="177"/>
      <c r="L81" s="99"/>
      <c r="M81" s="6"/>
      <c r="N81" s="27"/>
    </row>
    <row r="82" spans="1:14" ht="22.5" x14ac:dyDescent="0.2">
      <c r="A82" s="28"/>
      <c r="B82" s="5"/>
      <c r="C82" s="33" t="s">
        <v>374</v>
      </c>
      <c r="D82" s="3"/>
      <c r="E82" s="99">
        <v>3</v>
      </c>
      <c r="F82" s="99">
        <f>7.8+7.8+7.8+7.8</f>
        <v>31.2</v>
      </c>
      <c r="G82" s="14">
        <v>0.2</v>
      </c>
      <c r="H82" s="3">
        <v>1.2</v>
      </c>
      <c r="I82" s="14">
        <f t="shared" si="3"/>
        <v>22.463999999999999</v>
      </c>
      <c r="J82" s="99"/>
      <c r="K82" s="177"/>
      <c r="L82" s="99"/>
      <c r="M82" s="6"/>
      <c r="N82" s="27"/>
    </row>
    <row r="83" spans="1:14" ht="22.5" x14ac:dyDescent="0.2">
      <c r="A83" s="28"/>
      <c r="B83" s="5"/>
      <c r="C83" s="33" t="s">
        <v>387</v>
      </c>
      <c r="D83" s="3"/>
      <c r="E83" s="99">
        <v>3</v>
      </c>
      <c r="F83" s="3">
        <v>1</v>
      </c>
      <c r="G83" s="3">
        <v>1</v>
      </c>
      <c r="H83" s="3">
        <v>0.15</v>
      </c>
      <c r="I83" s="14">
        <f t="shared" si="3"/>
        <v>0.44999999999999996</v>
      </c>
      <c r="J83" s="99"/>
      <c r="K83" s="177"/>
      <c r="L83" s="99"/>
      <c r="M83" s="6"/>
      <c r="N83" s="27"/>
    </row>
    <row r="84" spans="1:14" ht="22.5" x14ac:dyDescent="0.2">
      <c r="A84" s="28"/>
      <c r="B84" s="5"/>
      <c r="C84" s="33" t="s">
        <v>374</v>
      </c>
      <c r="D84" s="3"/>
      <c r="E84" s="99">
        <v>3</v>
      </c>
      <c r="F84" s="3">
        <v>4</v>
      </c>
      <c r="G84" s="3">
        <v>0.2</v>
      </c>
      <c r="H84" s="3">
        <v>1</v>
      </c>
      <c r="I84" s="14">
        <f t="shared" si="3"/>
        <v>2.4000000000000004</v>
      </c>
      <c r="J84" s="99"/>
      <c r="K84" s="177"/>
      <c r="L84" s="99"/>
      <c r="M84" s="6"/>
      <c r="N84" s="27"/>
    </row>
    <row r="85" spans="1:14" ht="22.5" x14ac:dyDescent="0.2">
      <c r="A85" s="28"/>
      <c r="B85" s="5"/>
      <c r="C85" s="33" t="s">
        <v>346</v>
      </c>
      <c r="D85" s="3"/>
      <c r="E85" s="99"/>
      <c r="F85" s="3">
        <v>8.6999999999999993</v>
      </c>
      <c r="G85" s="3">
        <v>4</v>
      </c>
      <c r="H85" s="3">
        <v>0.2</v>
      </c>
      <c r="I85" s="14">
        <f t="shared" si="3"/>
        <v>6.96</v>
      </c>
      <c r="J85" s="99"/>
      <c r="K85" s="177"/>
      <c r="L85" s="99"/>
      <c r="M85" s="6"/>
      <c r="N85" s="27"/>
    </row>
    <row r="86" spans="1:14" ht="22.5" x14ac:dyDescent="0.2">
      <c r="A86" s="28"/>
      <c r="B86" s="5"/>
      <c r="C86" s="33" t="s">
        <v>390</v>
      </c>
      <c r="D86" s="3"/>
      <c r="E86" s="99">
        <f>3</f>
        <v>3</v>
      </c>
      <c r="F86" s="3">
        <f>3+3+3</f>
        <v>9</v>
      </c>
      <c r="G86" s="3">
        <v>0.2</v>
      </c>
      <c r="H86" s="3">
        <v>0.1</v>
      </c>
      <c r="I86" s="14">
        <f t="shared" si="3"/>
        <v>0.54</v>
      </c>
      <c r="J86" s="99"/>
      <c r="K86" s="177"/>
      <c r="L86" s="99"/>
      <c r="M86" s="6"/>
      <c r="N86" s="27"/>
    </row>
    <row r="87" spans="1:14" ht="22.5" x14ac:dyDescent="0.2">
      <c r="A87" s="28"/>
      <c r="B87" s="5"/>
      <c r="C87" s="33" t="s">
        <v>391</v>
      </c>
      <c r="D87" s="3"/>
      <c r="E87" s="99">
        <f>(35+35+12+12)/2.5</f>
        <v>37.6</v>
      </c>
      <c r="F87" s="3">
        <f>0.45</f>
        <v>0.45</v>
      </c>
      <c r="G87" s="3">
        <v>0.45</v>
      </c>
      <c r="H87" s="3">
        <v>0.6</v>
      </c>
      <c r="I87" s="14">
        <f t="shared" si="3"/>
        <v>4.5684000000000005</v>
      </c>
      <c r="J87" s="99"/>
      <c r="K87" s="177"/>
      <c r="L87" s="99"/>
      <c r="M87" s="6"/>
      <c r="N87" s="27"/>
    </row>
    <row r="88" spans="1:14" ht="22.5" x14ac:dyDescent="0.2">
      <c r="A88" s="28"/>
      <c r="B88" s="5"/>
      <c r="C88" s="33" t="s">
        <v>392</v>
      </c>
      <c r="D88" s="3"/>
      <c r="E88" s="99"/>
      <c r="F88" s="3"/>
      <c r="G88" s="3"/>
      <c r="H88" s="3"/>
      <c r="I88" s="14"/>
      <c r="J88" s="99"/>
      <c r="K88" s="177"/>
      <c r="L88" s="99"/>
      <c r="M88" s="6"/>
      <c r="N88" s="27"/>
    </row>
    <row r="89" spans="1:14" ht="22.5" x14ac:dyDescent="0.2">
      <c r="A89" s="28"/>
      <c r="B89" s="5"/>
      <c r="C89" s="33" t="s">
        <v>393</v>
      </c>
      <c r="D89" s="3"/>
      <c r="E89" s="99">
        <v>1</v>
      </c>
      <c r="F89" s="3">
        <v>0.75</v>
      </c>
      <c r="G89" s="3">
        <v>1.65</v>
      </c>
      <c r="H89" s="3">
        <v>0.125</v>
      </c>
      <c r="I89" s="14">
        <f>PRODUCT(E89:H89)</f>
        <v>0.15468749999999998</v>
      </c>
      <c r="J89" s="99"/>
      <c r="K89" s="177"/>
      <c r="L89" s="99"/>
      <c r="M89" s="6"/>
      <c r="N89" s="27"/>
    </row>
    <row r="90" spans="1:14" ht="22.5" x14ac:dyDescent="0.2">
      <c r="A90" s="28"/>
      <c r="B90" s="5"/>
      <c r="C90" s="33"/>
      <c r="D90" s="3"/>
      <c r="E90" s="99">
        <v>8</v>
      </c>
      <c r="F90" s="3">
        <v>1.2</v>
      </c>
      <c r="G90" s="3">
        <v>0.3</v>
      </c>
      <c r="H90" s="3">
        <f>0.5*0.175</f>
        <v>8.7499999999999994E-2</v>
      </c>
      <c r="I90" s="14">
        <f>PRODUCT(E90:H90)</f>
        <v>0.252</v>
      </c>
      <c r="J90" s="99"/>
      <c r="K90" s="177"/>
      <c r="L90" s="99"/>
      <c r="M90" s="6"/>
      <c r="N90" s="27"/>
    </row>
    <row r="91" spans="1:14" ht="22.5" x14ac:dyDescent="0.2">
      <c r="A91" s="28"/>
      <c r="B91" s="5"/>
      <c r="C91" s="99" t="s">
        <v>394</v>
      </c>
      <c r="D91" s="3"/>
      <c r="E91" s="99"/>
      <c r="F91" s="3">
        <v>2.1</v>
      </c>
      <c r="G91" s="3">
        <v>1.2</v>
      </c>
      <c r="H91" s="3">
        <v>0.125</v>
      </c>
      <c r="I91" s="14">
        <f>PRODUCT(E91:H91)</f>
        <v>0.315</v>
      </c>
      <c r="J91" s="99"/>
      <c r="K91" s="177"/>
      <c r="L91" s="99"/>
      <c r="M91" s="6"/>
      <c r="N91" s="27"/>
    </row>
    <row r="92" spans="1:14" ht="22.5" x14ac:dyDescent="0.2">
      <c r="A92" s="28"/>
      <c r="B92" s="5"/>
      <c r="C92" s="33" t="s">
        <v>395</v>
      </c>
      <c r="D92" s="3"/>
      <c r="E92" s="99">
        <v>2</v>
      </c>
      <c r="F92" s="3">
        <v>1.2</v>
      </c>
      <c r="G92" s="3">
        <v>0.3</v>
      </c>
      <c r="H92" s="3">
        <v>0.4</v>
      </c>
      <c r="I92" s="14">
        <f>PRODUCT(E92:H92)</f>
        <v>0.28799999999999998</v>
      </c>
      <c r="J92" s="99"/>
      <c r="K92" s="177"/>
      <c r="L92" s="99"/>
      <c r="M92" s="6"/>
      <c r="N92" s="27"/>
    </row>
    <row r="93" spans="1:14" ht="42" x14ac:dyDescent="0.2">
      <c r="A93" s="28"/>
      <c r="B93" s="5" t="s">
        <v>104</v>
      </c>
      <c r="C93" s="33" t="s">
        <v>315</v>
      </c>
      <c r="D93" s="3" t="s">
        <v>43</v>
      </c>
      <c r="E93" s="3"/>
      <c r="F93" s="3"/>
      <c r="G93" s="3"/>
      <c r="H93" s="3"/>
      <c r="I93" s="14">
        <f>PRODUCT(E93:H93)</f>
        <v>0</v>
      </c>
      <c r="J93" s="99">
        <v>8599.35</v>
      </c>
      <c r="K93" s="177">
        <v>6262.0466699999997</v>
      </c>
      <c r="L93" s="99">
        <f>J93*I93</f>
        <v>0</v>
      </c>
      <c r="M93" s="6"/>
      <c r="N93" s="27"/>
    </row>
    <row r="94" spans="1:14" ht="22.5" x14ac:dyDescent="0.2">
      <c r="A94" s="28"/>
      <c r="B94" s="5" t="s">
        <v>106</v>
      </c>
      <c r="C94" s="33" t="s">
        <v>107</v>
      </c>
      <c r="D94" s="3"/>
      <c r="E94" s="3"/>
      <c r="F94" s="3"/>
      <c r="G94" s="3"/>
      <c r="H94" s="3"/>
      <c r="I94" s="14"/>
      <c r="J94" s="99"/>
      <c r="K94" s="177">
        <v>0</v>
      </c>
      <c r="L94" s="99">
        <f>J94*I94</f>
        <v>0</v>
      </c>
      <c r="M94" s="6"/>
      <c r="N94" s="27"/>
    </row>
    <row r="95" spans="1:14" ht="42" x14ac:dyDescent="0.2">
      <c r="A95" s="28"/>
      <c r="B95" s="5" t="s">
        <v>108</v>
      </c>
      <c r="C95" s="33" t="s">
        <v>313</v>
      </c>
      <c r="D95" s="3" t="s">
        <v>43</v>
      </c>
      <c r="E95" s="3"/>
      <c r="F95" s="3"/>
      <c r="G95" s="3"/>
      <c r="H95" s="3" t="s">
        <v>309</v>
      </c>
      <c r="I95" s="14">
        <f>SUM(I96:I96)</f>
        <v>0</v>
      </c>
      <c r="J95" s="99">
        <v>10080.15</v>
      </c>
      <c r="K95" s="177">
        <v>6660.9631200000003</v>
      </c>
      <c r="L95" s="99">
        <f>J95*I95</f>
        <v>0</v>
      </c>
      <c r="M95" s="6"/>
      <c r="N95" s="27"/>
    </row>
    <row r="96" spans="1:14" ht="22.5" x14ac:dyDescent="0.2">
      <c r="A96" s="28"/>
      <c r="B96" s="5"/>
      <c r="C96" s="33"/>
      <c r="D96" s="3"/>
      <c r="E96" s="3"/>
      <c r="F96" s="3"/>
      <c r="G96" s="3"/>
      <c r="H96" s="3"/>
      <c r="I96" s="14"/>
      <c r="J96" s="99"/>
      <c r="K96" s="177"/>
      <c r="L96" s="99"/>
      <c r="M96" s="6"/>
      <c r="N96" s="27"/>
    </row>
    <row r="97" spans="1:14" ht="42" hidden="1" x14ac:dyDescent="0.2">
      <c r="A97" s="28"/>
      <c r="B97" s="5" t="s">
        <v>109</v>
      </c>
      <c r="C97" s="33" t="s">
        <v>315</v>
      </c>
      <c r="D97" s="3" t="s">
        <v>43</v>
      </c>
      <c r="E97" s="3"/>
      <c r="F97" s="3"/>
      <c r="G97" s="3"/>
      <c r="H97" s="3"/>
      <c r="I97" s="14"/>
      <c r="J97" s="99">
        <v>10221.700000000001</v>
      </c>
      <c r="K97" s="177">
        <v>6870.0045700000001</v>
      </c>
      <c r="L97" s="99">
        <f>J97*I97</f>
        <v>0</v>
      </c>
      <c r="M97" s="6"/>
      <c r="N97" s="27"/>
    </row>
    <row r="98" spans="1:14" ht="105" x14ac:dyDescent="0.2">
      <c r="A98" s="28">
        <v>14</v>
      </c>
      <c r="B98" s="5">
        <v>5.22</v>
      </c>
      <c r="C98" s="33" t="s">
        <v>316</v>
      </c>
      <c r="D98" s="8"/>
      <c r="E98" s="8"/>
      <c r="F98" s="8"/>
      <c r="G98" s="8"/>
      <c r="H98" s="8"/>
      <c r="I98" s="14"/>
      <c r="J98" s="99"/>
      <c r="K98" s="177">
        <v>0</v>
      </c>
      <c r="L98" s="99">
        <f>J98*I98</f>
        <v>0</v>
      </c>
      <c r="M98" s="6"/>
      <c r="N98" s="27"/>
    </row>
    <row r="99" spans="1:14" ht="42" x14ac:dyDescent="0.2">
      <c r="A99" s="28"/>
      <c r="B99" s="5" t="s">
        <v>110</v>
      </c>
      <c r="C99" s="33" t="s">
        <v>111</v>
      </c>
      <c r="D99" s="3" t="s">
        <v>112</v>
      </c>
      <c r="E99" s="3"/>
      <c r="F99" s="3"/>
      <c r="G99" s="3"/>
      <c r="H99" s="3" t="s">
        <v>309</v>
      </c>
      <c r="I99" s="35">
        <f>SUM(I100)</f>
        <v>7691.9669999999987</v>
      </c>
      <c r="J99" s="99">
        <v>89.65</v>
      </c>
      <c r="K99" s="177">
        <v>90.716835000000003</v>
      </c>
      <c r="L99" s="99">
        <f>J99*I99</f>
        <v>689584.8415499999</v>
      </c>
      <c r="M99" s="6"/>
      <c r="N99" s="27"/>
    </row>
    <row r="100" spans="1:14" ht="22.5" x14ac:dyDescent="0.2">
      <c r="A100" s="28"/>
      <c r="B100" s="5"/>
      <c r="C100" s="33"/>
      <c r="D100" s="3"/>
      <c r="E100" s="3">
        <v>80</v>
      </c>
      <c r="F100" s="3"/>
      <c r="H100" s="14">
        <f>I95+I79</f>
        <v>96.149587499999981</v>
      </c>
      <c r="I100" s="14">
        <f>PRODUCT(E100:H100)</f>
        <v>7691.9669999999987</v>
      </c>
      <c r="J100" s="99"/>
      <c r="K100" s="177"/>
      <c r="L100" s="99"/>
      <c r="M100" s="6"/>
      <c r="N100" s="27"/>
    </row>
    <row r="101" spans="1:14" ht="231" x14ac:dyDescent="0.2">
      <c r="A101" s="28">
        <v>15</v>
      </c>
      <c r="B101" s="68" t="s">
        <v>207</v>
      </c>
      <c r="C101" s="33" t="s">
        <v>208</v>
      </c>
      <c r="D101" s="3"/>
      <c r="E101" s="3"/>
      <c r="F101" s="3"/>
      <c r="G101" s="3"/>
      <c r="H101" s="3"/>
      <c r="I101" s="8"/>
      <c r="J101" s="99"/>
      <c r="K101" s="177"/>
      <c r="L101" s="99">
        <f>J101*I101</f>
        <v>0</v>
      </c>
      <c r="M101" s="6"/>
      <c r="N101" s="27"/>
    </row>
    <row r="102" spans="1:14" ht="22.5" x14ac:dyDescent="0.2">
      <c r="A102" s="28"/>
      <c r="B102" s="69"/>
      <c r="C102" s="33"/>
      <c r="D102" s="3" t="s">
        <v>112</v>
      </c>
      <c r="E102" s="3"/>
      <c r="F102" s="3"/>
      <c r="G102" s="3"/>
      <c r="H102" s="3" t="s">
        <v>309</v>
      </c>
      <c r="I102" s="8">
        <v>100</v>
      </c>
      <c r="J102" s="99">
        <v>120</v>
      </c>
      <c r="K102" s="177">
        <v>147.84</v>
      </c>
      <c r="L102" s="99">
        <f>J102*I102</f>
        <v>12000</v>
      </c>
      <c r="M102" s="6"/>
      <c r="N102" s="27"/>
    </row>
    <row r="103" spans="1:14" ht="22.5" x14ac:dyDescent="0.2">
      <c r="A103" s="28"/>
      <c r="B103" s="69"/>
      <c r="C103" s="33"/>
      <c r="D103" s="3"/>
      <c r="E103" s="3"/>
      <c r="F103" s="3"/>
      <c r="G103" s="3"/>
      <c r="H103" s="3"/>
      <c r="I103" s="8"/>
      <c r="J103" s="99"/>
      <c r="K103" s="177"/>
      <c r="L103" s="99"/>
      <c r="M103" s="6"/>
      <c r="N103" s="27"/>
    </row>
    <row r="104" spans="1:14" ht="182.25" x14ac:dyDescent="0.2">
      <c r="A104" s="28">
        <v>16</v>
      </c>
      <c r="B104" s="70" t="s">
        <v>207</v>
      </c>
      <c r="C104" s="15" t="s">
        <v>209</v>
      </c>
      <c r="D104" s="3"/>
      <c r="E104" s="3"/>
      <c r="F104" s="3"/>
      <c r="G104" s="3"/>
      <c r="H104" s="3"/>
      <c r="I104" s="8"/>
      <c r="J104" s="99"/>
      <c r="K104" s="177"/>
      <c r="L104" s="99">
        <f t="shared" ref="L104:L112" si="4">J104*I104</f>
        <v>0</v>
      </c>
      <c r="M104" s="6"/>
      <c r="N104" s="27"/>
    </row>
    <row r="105" spans="1:14" ht="22.5" x14ac:dyDescent="0.2">
      <c r="A105" s="28">
        <v>17</v>
      </c>
      <c r="B105" s="71">
        <v>5774</v>
      </c>
      <c r="C105" s="33" t="s">
        <v>210</v>
      </c>
      <c r="D105" s="3" t="s">
        <v>211</v>
      </c>
      <c r="E105" s="3"/>
      <c r="F105" s="3"/>
      <c r="G105" s="3"/>
      <c r="H105" s="3"/>
      <c r="I105" s="8">
        <v>10</v>
      </c>
      <c r="J105" s="99">
        <v>20</v>
      </c>
      <c r="K105" s="177">
        <v>28</v>
      </c>
      <c r="L105" s="99">
        <f t="shared" si="4"/>
        <v>200</v>
      </c>
      <c r="M105" s="6"/>
      <c r="N105" s="27"/>
    </row>
    <row r="106" spans="1:14" ht="22.5" x14ac:dyDescent="0.2">
      <c r="A106" s="28"/>
      <c r="B106" s="71"/>
      <c r="C106" s="33"/>
      <c r="D106" s="3"/>
      <c r="E106" s="3"/>
      <c r="F106" s="3"/>
      <c r="G106" s="3"/>
      <c r="H106" s="3"/>
      <c r="I106" s="8"/>
      <c r="J106" s="99"/>
      <c r="K106" s="177"/>
      <c r="L106" s="99">
        <f t="shared" si="4"/>
        <v>0</v>
      </c>
      <c r="M106" s="6"/>
      <c r="N106" s="27"/>
    </row>
    <row r="107" spans="1:14" ht="168" customHeight="1" x14ac:dyDescent="0.2">
      <c r="A107" s="28">
        <v>18</v>
      </c>
      <c r="B107" s="70" t="s">
        <v>70</v>
      </c>
      <c r="C107" s="33" t="s">
        <v>212</v>
      </c>
      <c r="D107" s="1"/>
      <c r="E107" s="1"/>
      <c r="F107" s="1"/>
      <c r="G107" s="1"/>
      <c r="H107" s="1"/>
      <c r="I107" s="14"/>
      <c r="J107" s="99"/>
      <c r="K107" s="177"/>
      <c r="L107" s="99">
        <f t="shared" si="4"/>
        <v>0</v>
      </c>
      <c r="M107" s="6"/>
      <c r="N107" s="27"/>
    </row>
    <row r="108" spans="1:14" ht="22.5" x14ac:dyDescent="0.2">
      <c r="A108" s="28"/>
      <c r="B108" s="70"/>
      <c r="C108" s="33" t="s">
        <v>213</v>
      </c>
      <c r="D108" s="1" t="s">
        <v>147</v>
      </c>
      <c r="E108" s="1"/>
      <c r="F108" s="1"/>
      <c r="G108" s="1"/>
      <c r="H108" s="1"/>
      <c r="I108" s="14"/>
      <c r="J108" s="99">
        <v>320</v>
      </c>
      <c r="K108" s="177">
        <v>557.76</v>
      </c>
      <c r="L108" s="99">
        <f t="shared" si="4"/>
        <v>0</v>
      </c>
      <c r="M108" s="6"/>
      <c r="N108" s="27"/>
    </row>
    <row r="109" spans="1:14" ht="22.5" x14ac:dyDescent="0.2">
      <c r="A109" s="28"/>
      <c r="B109" s="70"/>
      <c r="C109" s="33" t="s">
        <v>214</v>
      </c>
      <c r="D109" s="1" t="s">
        <v>147</v>
      </c>
      <c r="E109" s="1"/>
      <c r="F109" s="1"/>
      <c r="G109" s="1"/>
      <c r="H109" s="1"/>
      <c r="I109" s="14"/>
      <c r="J109" s="99">
        <v>284</v>
      </c>
      <c r="K109" s="177">
        <v>557.74760000000003</v>
      </c>
      <c r="L109" s="99">
        <f t="shared" si="4"/>
        <v>0</v>
      </c>
      <c r="M109" s="6"/>
      <c r="N109" s="27"/>
    </row>
    <row r="110" spans="1:14" ht="22.5" x14ac:dyDescent="0.2">
      <c r="A110" s="28"/>
      <c r="B110" s="70"/>
      <c r="C110" s="33" t="s">
        <v>215</v>
      </c>
      <c r="D110" s="1" t="s">
        <v>147</v>
      </c>
      <c r="E110" s="1"/>
      <c r="F110" s="1"/>
      <c r="G110" s="1"/>
      <c r="H110" s="1"/>
      <c r="I110" s="14"/>
      <c r="J110" s="99">
        <v>781</v>
      </c>
      <c r="K110" s="177">
        <v>798.57249999999999</v>
      </c>
      <c r="L110" s="99">
        <f t="shared" si="4"/>
        <v>0</v>
      </c>
      <c r="M110" s="6"/>
      <c r="N110" s="27"/>
    </row>
    <row r="111" spans="1:14" ht="81" x14ac:dyDescent="0.2">
      <c r="A111" s="28">
        <v>19</v>
      </c>
      <c r="B111" s="70" t="s">
        <v>70</v>
      </c>
      <c r="C111" s="11" t="s">
        <v>216</v>
      </c>
      <c r="D111" s="12" t="s">
        <v>201</v>
      </c>
      <c r="E111" s="12"/>
      <c r="F111" s="12"/>
      <c r="G111" s="12"/>
      <c r="H111" s="12" t="s">
        <v>309</v>
      </c>
      <c r="I111" s="14"/>
      <c r="J111" s="99">
        <v>680</v>
      </c>
      <c r="K111" s="177">
        <f>J111</f>
        <v>680</v>
      </c>
      <c r="L111" s="99">
        <f t="shared" si="4"/>
        <v>0</v>
      </c>
      <c r="M111" s="6"/>
      <c r="N111" s="27"/>
    </row>
    <row r="112" spans="1:14" ht="409.5" x14ac:dyDescent="0.2">
      <c r="A112" s="28"/>
      <c r="B112" s="104">
        <v>16.53</v>
      </c>
      <c r="C112" s="11" t="s">
        <v>219</v>
      </c>
      <c r="D112" s="258" t="s">
        <v>199</v>
      </c>
      <c r="E112" s="12"/>
      <c r="F112" s="12"/>
      <c r="G112" s="12"/>
      <c r="H112" s="12"/>
      <c r="I112" s="14">
        <v>91</v>
      </c>
      <c r="J112" s="258">
        <v>303.64999999999998</v>
      </c>
      <c r="K112" s="177"/>
      <c r="L112" s="99">
        <f t="shared" si="4"/>
        <v>27632.149999999998</v>
      </c>
      <c r="M112" s="6"/>
      <c r="N112" s="27"/>
    </row>
    <row r="113" spans="1:14" ht="114.75" customHeight="1" x14ac:dyDescent="0.2">
      <c r="A113" s="28">
        <v>20</v>
      </c>
      <c r="B113" s="73">
        <v>16.7</v>
      </c>
      <c r="C113" s="74" t="s">
        <v>220</v>
      </c>
      <c r="D113" s="75"/>
      <c r="E113" s="12"/>
      <c r="F113" s="12"/>
      <c r="G113" s="12"/>
      <c r="H113" s="12"/>
      <c r="I113" s="14"/>
      <c r="J113" s="99"/>
      <c r="K113" s="177"/>
      <c r="L113" s="99"/>
      <c r="M113" s="6"/>
      <c r="N113" s="27"/>
    </row>
    <row r="114" spans="1:14" ht="81" x14ac:dyDescent="0.2">
      <c r="A114" s="28"/>
      <c r="B114" s="73" t="s">
        <v>223</v>
      </c>
      <c r="C114" s="74" t="s">
        <v>224</v>
      </c>
      <c r="D114" s="75" t="s">
        <v>73</v>
      </c>
      <c r="E114" s="12"/>
      <c r="F114" s="12"/>
      <c r="G114" s="12"/>
      <c r="H114" s="12" t="s">
        <v>309</v>
      </c>
      <c r="I114" s="14">
        <f>SUM(I115)</f>
        <v>182</v>
      </c>
      <c r="J114" s="178">
        <v>901.65</v>
      </c>
      <c r="K114" s="177"/>
      <c r="L114" s="99">
        <f>J114*I114</f>
        <v>164100.29999999999</v>
      </c>
      <c r="M114" s="6"/>
      <c r="N114" s="27"/>
    </row>
    <row r="115" spans="1:14" ht="22.5" x14ac:dyDescent="0.2">
      <c r="A115" s="28"/>
      <c r="B115" s="73"/>
      <c r="C115" s="74"/>
      <c r="D115" s="75"/>
      <c r="E115" s="12"/>
      <c r="F115" s="12">
        <f>35+35+12+12-3</f>
        <v>91</v>
      </c>
      <c r="G115" s="12">
        <v>2</v>
      </c>
      <c r="H115" s="12"/>
      <c r="I115" s="14">
        <f>PRODUCT(E115:H115)</f>
        <v>182</v>
      </c>
      <c r="J115" s="178"/>
      <c r="K115" s="177"/>
      <c r="L115" s="99"/>
      <c r="M115" s="6"/>
      <c r="N115" s="27"/>
    </row>
    <row r="116" spans="1:14" ht="72" x14ac:dyDescent="0.2">
      <c r="A116" s="28"/>
      <c r="B116" s="104">
        <v>1</v>
      </c>
      <c r="C116" s="76" t="s">
        <v>225</v>
      </c>
      <c r="D116" s="258"/>
      <c r="E116" s="12"/>
      <c r="F116" s="12"/>
      <c r="G116" s="12"/>
      <c r="H116" s="12"/>
      <c r="I116" s="14"/>
      <c r="J116" s="178"/>
      <c r="K116" s="177"/>
      <c r="L116" s="99"/>
      <c r="M116" s="6"/>
      <c r="N116" s="27"/>
    </row>
    <row r="117" spans="1:14" ht="36" x14ac:dyDescent="0.2">
      <c r="A117" s="28"/>
      <c r="B117" s="104" t="s">
        <v>226</v>
      </c>
      <c r="C117" s="76" t="s">
        <v>227</v>
      </c>
      <c r="D117" s="258" t="s">
        <v>228</v>
      </c>
      <c r="E117" s="12"/>
      <c r="F117" s="12">
        <v>6</v>
      </c>
      <c r="G117" s="12"/>
      <c r="H117" s="12"/>
      <c r="I117" s="14">
        <f>PRODUCT(E117:H117)</f>
        <v>6</v>
      </c>
      <c r="J117" s="258">
        <v>22000</v>
      </c>
      <c r="K117" s="177"/>
      <c r="L117" s="99">
        <f>J117*I117</f>
        <v>132000</v>
      </c>
      <c r="M117" s="6"/>
      <c r="N117" s="27"/>
    </row>
    <row r="118" spans="1:14" ht="22.5" x14ac:dyDescent="0.2">
      <c r="A118" s="28"/>
      <c r="B118" s="104"/>
      <c r="C118" s="76"/>
      <c r="D118" s="258"/>
      <c r="E118" s="12"/>
      <c r="F118" s="12"/>
      <c r="G118" s="12"/>
      <c r="H118" s="12"/>
      <c r="I118" s="14"/>
      <c r="J118" s="258"/>
      <c r="K118" s="177"/>
      <c r="L118" s="99"/>
      <c r="M118" s="6"/>
      <c r="N118" s="27"/>
    </row>
    <row r="119" spans="1:14" ht="105" x14ac:dyDescent="0.2">
      <c r="A119" s="28">
        <v>24</v>
      </c>
      <c r="B119" s="5">
        <v>4.7</v>
      </c>
      <c r="C119" s="33" t="s">
        <v>377</v>
      </c>
      <c r="D119" s="3"/>
      <c r="E119" s="3"/>
      <c r="F119" s="3" t="s">
        <v>378</v>
      </c>
      <c r="G119" s="3"/>
      <c r="H119" s="3"/>
      <c r="I119" s="35"/>
      <c r="J119" s="99"/>
      <c r="K119" s="177">
        <v>0</v>
      </c>
      <c r="L119" s="99">
        <f>J119*I119</f>
        <v>0</v>
      </c>
      <c r="M119" s="6"/>
      <c r="N119" s="27"/>
    </row>
    <row r="120" spans="1:14" ht="63" customHeight="1" x14ac:dyDescent="0.2">
      <c r="A120" s="28">
        <v>25</v>
      </c>
      <c r="B120" s="5" t="s">
        <v>116</v>
      </c>
      <c r="C120" s="33" t="s">
        <v>364</v>
      </c>
      <c r="D120" s="3" t="s">
        <v>43</v>
      </c>
      <c r="E120" s="3"/>
      <c r="F120" s="3"/>
      <c r="G120" s="3"/>
      <c r="H120" s="3" t="s">
        <v>309</v>
      </c>
      <c r="I120" s="14">
        <f>SUM(I121:I124)</f>
        <v>9.9084000000000003</v>
      </c>
      <c r="J120" s="99">
        <v>15762.45</v>
      </c>
      <c r="K120" s="177">
        <v>8448.6731999999993</v>
      </c>
      <c r="L120" s="99">
        <f>J120*I120</f>
        <v>156180.65958000001</v>
      </c>
      <c r="M120" s="6"/>
      <c r="N120" s="27"/>
    </row>
    <row r="121" spans="1:14" ht="22.5" x14ac:dyDescent="0.2">
      <c r="A121" s="28"/>
      <c r="B121" s="5"/>
      <c r="C121" s="33" t="s">
        <v>363</v>
      </c>
      <c r="D121" s="3"/>
      <c r="E121" s="99">
        <f>3</f>
        <v>3</v>
      </c>
      <c r="F121" s="3">
        <f>3+3+3</f>
        <v>9</v>
      </c>
      <c r="G121" s="3">
        <v>0.23</v>
      </c>
      <c r="H121" s="3">
        <v>1.2</v>
      </c>
      <c r="I121" s="14">
        <f>PRODUCT(E121:H121)</f>
        <v>7.452</v>
      </c>
      <c r="J121" s="99"/>
      <c r="K121" s="177"/>
      <c r="L121" s="99"/>
      <c r="M121" s="6"/>
      <c r="N121" s="27"/>
    </row>
    <row r="122" spans="1:14" ht="22.5" x14ac:dyDescent="0.2">
      <c r="A122" s="28"/>
      <c r="B122" s="5"/>
      <c r="C122" s="33" t="s">
        <v>396</v>
      </c>
      <c r="D122" s="3"/>
      <c r="E122" s="3"/>
      <c r="F122" s="3">
        <f>2.8+2.8+1.65+1.65</f>
        <v>8.9</v>
      </c>
      <c r="G122" s="3">
        <v>0.23</v>
      </c>
      <c r="H122" s="3">
        <v>1.2</v>
      </c>
      <c r="I122" s="14">
        <f>PRODUCT(E122:H122)</f>
        <v>2.4563999999999999</v>
      </c>
      <c r="J122" s="99"/>
      <c r="K122" s="177"/>
      <c r="L122" s="99"/>
      <c r="M122" s="6"/>
      <c r="N122" s="27"/>
    </row>
    <row r="123" spans="1:14" ht="22.5" x14ac:dyDescent="0.2">
      <c r="A123" s="28"/>
      <c r="B123" s="5"/>
      <c r="C123" s="33"/>
      <c r="D123" s="3"/>
      <c r="E123" s="3"/>
      <c r="F123" s="3"/>
      <c r="G123" s="3"/>
      <c r="H123" s="3"/>
      <c r="I123" s="14"/>
      <c r="J123" s="99"/>
      <c r="K123" s="177"/>
      <c r="L123" s="99"/>
      <c r="M123" s="6"/>
      <c r="N123" s="27"/>
    </row>
    <row r="124" spans="1:14" ht="22.5" x14ac:dyDescent="0.2">
      <c r="A124" s="28"/>
      <c r="B124" s="5"/>
      <c r="C124" s="33"/>
      <c r="D124" s="3"/>
      <c r="E124" s="3"/>
      <c r="F124" s="3"/>
      <c r="G124" s="3"/>
      <c r="H124" s="3"/>
      <c r="I124" s="14"/>
      <c r="J124" s="99"/>
      <c r="K124" s="177"/>
      <c r="L124" s="99"/>
      <c r="M124" s="6"/>
      <c r="N124" s="27"/>
    </row>
    <row r="125" spans="1:14" ht="22.5" x14ac:dyDescent="0.2">
      <c r="A125" s="28"/>
      <c r="B125" s="5"/>
      <c r="C125" s="33"/>
      <c r="D125" s="3"/>
      <c r="E125" s="3"/>
      <c r="F125" s="3"/>
      <c r="G125" s="3"/>
      <c r="H125" s="3"/>
      <c r="I125" s="14"/>
      <c r="J125" s="99"/>
      <c r="K125" s="177"/>
      <c r="L125" s="99"/>
      <c r="M125" s="6"/>
      <c r="N125" s="27"/>
    </row>
    <row r="126" spans="1:14" ht="105" x14ac:dyDescent="0.2">
      <c r="A126" s="28">
        <v>26</v>
      </c>
      <c r="B126" s="5">
        <v>6.13</v>
      </c>
      <c r="C126" s="33" t="s">
        <v>380</v>
      </c>
      <c r="D126" s="3" t="s">
        <v>73</v>
      </c>
      <c r="E126" s="3"/>
      <c r="F126" s="3"/>
      <c r="G126" s="3"/>
      <c r="H126" s="3"/>
      <c r="I126" s="14"/>
      <c r="J126" s="99"/>
      <c r="K126" s="177"/>
      <c r="L126" s="99">
        <f>J126*I126</f>
        <v>0</v>
      </c>
      <c r="M126" s="6"/>
      <c r="N126" s="27"/>
    </row>
    <row r="127" spans="1:14" ht="22.5" x14ac:dyDescent="0.2">
      <c r="A127" s="28"/>
      <c r="B127" s="5" t="s">
        <v>119</v>
      </c>
      <c r="C127" s="33" t="s">
        <v>120</v>
      </c>
      <c r="D127" s="3" t="s">
        <v>73</v>
      </c>
      <c r="E127" s="3"/>
      <c r="F127" s="3"/>
      <c r="G127" s="3"/>
      <c r="H127" s="3"/>
      <c r="I127" s="14"/>
      <c r="J127" s="99">
        <v>1018.05</v>
      </c>
      <c r="K127" s="177">
        <v>1128.915645</v>
      </c>
      <c r="L127" s="99">
        <f>J127*I127</f>
        <v>0</v>
      </c>
      <c r="M127" s="6"/>
      <c r="N127" s="27"/>
    </row>
    <row r="128" spans="1:14" ht="202.5" x14ac:dyDescent="0.2">
      <c r="A128" s="28">
        <v>27</v>
      </c>
      <c r="B128" s="5">
        <v>13</v>
      </c>
      <c r="C128" s="15" t="s">
        <v>121</v>
      </c>
      <c r="D128" s="3"/>
      <c r="E128" s="3"/>
      <c r="F128" s="3"/>
      <c r="G128" s="3"/>
      <c r="H128" s="3"/>
      <c r="I128" s="14"/>
      <c r="J128" s="99"/>
      <c r="K128" s="177">
        <v>0</v>
      </c>
      <c r="L128" s="99">
        <f>J128*I128</f>
        <v>0</v>
      </c>
      <c r="M128" s="6"/>
      <c r="N128" s="27"/>
    </row>
    <row r="129" spans="1:14" ht="22.5" x14ac:dyDescent="0.2">
      <c r="A129" s="28"/>
      <c r="B129" s="5">
        <v>13.1</v>
      </c>
      <c r="C129" s="33" t="s">
        <v>122</v>
      </c>
      <c r="D129" s="3"/>
      <c r="E129" s="3"/>
      <c r="F129" s="3"/>
      <c r="G129" s="3"/>
      <c r="H129" s="3"/>
      <c r="I129" s="14"/>
      <c r="J129" s="99"/>
      <c r="K129" s="177">
        <v>0</v>
      </c>
      <c r="L129" s="99">
        <f>J129*I129</f>
        <v>0</v>
      </c>
      <c r="M129" s="6"/>
      <c r="N129" s="27"/>
    </row>
    <row r="130" spans="1:14" ht="22.5" x14ac:dyDescent="0.2">
      <c r="A130" s="36"/>
      <c r="B130" s="5" t="s">
        <v>123</v>
      </c>
      <c r="C130" s="33" t="s">
        <v>124</v>
      </c>
      <c r="D130" s="3" t="s">
        <v>73</v>
      </c>
      <c r="E130" s="3"/>
      <c r="F130" s="3"/>
      <c r="G130" s="3"/>
      <c r="H130" s="3" t="s">
        <v>309</v>
      </c>
      <c r="I130" s="14">
        <f>SUM(I131:I133)</f>
        <v>86.16</v>
      </c>
      <c r="J130" s="99">
        <v>294.85000000000002</v>
      </c>
      <c r="K130" s="177">
        <v>478.24669999999998</v>
      </c>
      <c r="L130" s="99">
        <f>J130*I130</f>
        <v>25404.276000000002</v>
      </c>
      <c r="M130" s="6"/>
      <c r="N130" s="27"/>
    </row>
    <row r="131" spans="1:14" ht="22.5" x14ac:dyDescent="0.2">
      <c r="A131" s="36"/>
      <c r="B131" s="5"/>
      <c r="C131" s="33" t="str">
        <f>C121</f>
        <v>WALL</v>
      </c>
      <c r="D131" s="3"/>
      <c r="E131" s="33">
        <f>E121</f>
        <v>3</v>
      </c>
      <c r="F131" s="33">
        <f>F121</f>
        <v>9</v>
      </c>
      <c r="G131" s="3">
        <v>2</v>
      </c>
      <c r="H131" s="33">
        <f>H121</f>
        <v>1.2</v>
      </c>
      <c r="I131" s="14">
        <f>PRODUCT(E131:H131)</f>
        <v>64.8</v>
      </c>
      <c r="J131" s="99"/>
      <c r="K131" s="177"/>
      <c r="L131" s="99"/>
      <c r="M131" s="6"/>
      <c r="N131" s="27"/>
    </row>
    <row r="132" spans="1:14" ht="22.5" x14ac:dyDescent="0.2">
      <c r="A132" s="36"/>
      <c r="B132" s="5"/>
      <c r="C132" s="33" t="str">
        <f>C122</f>
        <v xml:space="preserve">STEPS WALL </v>
      </c>
      <c r="D132" s="3"/>
      <c r="E132" s="33"/>
      <c r="F132" s="33">
        <f>F122</f>
        <v>8.9</v>
      </c>
      <c r="G132" s="3">
        <v>2</v>
      </c>
      <c r="H132" s="33">
        <f>H122</f>
        <v>1.2</v>
      </c>
      <c r="I132" s="14">
        <f>PRODUCT(E132:H132)</f>
        <v>21.36</v>
      </c>
      <c r="J132" s="99"/>
      <c r="K132" s="177"/>
      <c r="L132" s="99"/>
      <c r="M132" s="6"/>
      <c r="N132" s="27"/>
    </row>
    <row r="133" spans="1:14" ht="22.5" x14ac:dyDescent="0.2">
      <c r="A133" s="36"/>
      <c r="B133" s="5"/>
      <c r="C133" s="33"/>
      <c r="D133" s="3"/>
      <c r="E133" s="33"/>
      <c r="F133" s="33"/>
      <c r="G133" s="3"/>
      <c r="H133" s="33"/>
      <c r="I133" s="14"/>
      <c r="J133" s="99"/>
      <c r="K133" s="177"/>
      <c r="L133" s="99"/>
      <c r="M133" s="6"/>
      <c r="N133" s="27"/>
    </row>
    <row r="134" spans="1:14" ht="182.25" x14ac:dyDescent="0.2">
      <c r="A134" s="36"/>
      <c r="B134" s="332"/>
      <c r="C134" s="334" t="s">
        <v>125</v>
      </c>
      <c r="D134" s="332"/>
      <c r="E134" s="33"/>
      <c r="F134" s="33"/>
      <c r="G134" s="3"/>
      <c r="H134" s="33"/>
      <c r="I134" s="14"/>
      <c r="J134" s="99"/>
      <c r="K134" s="177"/>
      <c r="L134" s="99"/>
      <c r="M134" s="6"/>
      <c r="N134" s="27"/>
    </row>
    <row r="135" spans="1:14" ht="22.5" x14ac:dyDescent="0.2">
      <c r="A135" s="36"/>
      <c r="B135" s="332">
        <v>13.3</v>
      </c>
      <c r="C135" s="335" t="s">
        <v>126</v>
      </c>
      <c r="D135" s="332"/>
      <c r="E135" s="33"/>
      <c r="F135" s="33"/>
      <c r="G135" s="3"/>
      <c r="H135" s="33"/>
      <c r="I135" s="14"/>
      <c r="J135" s="99"/>
      <c r="K135" s="177"/>
      <c r="L135" s="99"/>
      <c r="M135" s="6"/>
      <c r="N135" s="27"/>
    </row>
    <row r="136" spans="1:14" ht="22.5" x14ac:dyDescent="0.2">
      <c r="A136" s="36"/>
      <c r="B136" s="332" t="s">
        <v>127</v>
      </c>
      <c r="C136" s="333" t="s">
        <v>124</v>
      </c>
      <c r="D136" s="332" t="s">
        <v>73</v>
      </c>
      <c r="E136" s="33"/>
      <c r="F136" s="33"/>
      <c r="G136" s="3"/>
      <c r="H136" s="33"/>
      <c r="I136" s="14">
        <f>I130</f>
        <v>86.16</v>
      </c>
      <c r="J136" s="99">
        <v>402.15</v>
      </c>
      <c r="K136" s="177"/>
      <c r="L136" s="99">
        <f>J136*I136</f>
        <v>34649.243999999999</v>
      </c>
      <c r="M136" s="6"/>
      <c r="N136" s="27"/>
    </row>
    <row r="137" spans="1:14" ht="22.5" x14ac:dyDescent="0.2">
      <c r="A137" s="36"/>
      <c r="B137" s="5"/>
      <c r="C137" s="33"/>
      <c r="D137" s="3"/>
      <c r="E137" s="33"/>
      <c r="F137" s="33"/>
      <c r="G137" s="3"/>
      <c r="H137" s="33"/>
      <c r="I137" s="14"/>
      <c r="J137" s="99"/>
      <c r="K137" s="177"/>
      <c r="L137" s="99"/>
      <c r="M137" s="6"/>
      <c r="N137" s="27"/>
    </row>
    <row r="138" spans="1:14" ht="22.5" x14ac:dyDescent="0.2">
      <c r="A138" s="36"/>
      <c r="B138" s="5"/>
      <c r="C138" s="33"/>
      <c r="D138" s="3"/>
      <c r="E138" s="33"/>
      <c r="F138" s="33"/>
      <c r="G138" s="3"/>
      <c r="H138" s="33"/>
      <c r="I138" s="14"/>
      <c r="J138" s="99"/>
      <c r="K138" s="177"/>
      <c r="L138" s="99"/>
      <c r="M138" s="6"/>
      <c r="N138" s="27"/>
    </row>
    <row r="139" spans="1:14" ht="20.25" x14ac:dyDescent="0.3">
      <c r="A139" s="556" t="s">
        <v>336</v>
      </c>
      <c r="B139" s="557"/>
      <c r="C139" s="557"/>
      <c r="D139" s="557"/>
      <c r="E139" s="557"/>
      <c r="F139" s="557"/>
      <c r="G139" s="557"/>
      <c r="H139" s="557"/>
      <c r="I139" s="557"/>
      <c r="J139" s="557"/>
      <c r="K139" s="180"/>
      <c r="L139" s="99">
        <f>SUM(L7:L137)</f>
        <v>2756734.0331737497</v>
      </c>
      <c r="M139" s="47"/>
      <c r="N139" s="27"/>
    </row>
    <row r="140" spans="1:14" x14ac:dyDescent="0.2">
      <c r="A140" s="49"/>
      <c r="B140" s="50"/>
      <c r="C140" s="51"/>
      <c r="D140" s="50"/>
      <c r="E140" s="50"/>
      <c r="F140" s="50"/>
      <c r="G140" s="50"/>
      <c r="H140" s="50"/>
      <c r="I140" s="52"/>
      <c r="J140" s="171"/>
      <c r="K140" s="181"/>
      <c r="L140" s="165"/>
      <c r="M140" s="6"/>
      <c r="N140" s="53"/>
    </row>
    <row r="141" spans="1:14" x14ac:dyDescent="0.2">
      <c r="A141" s="54"/>
      <c r="N141" s="57"/>
    </row>
    <row r="142" spans="1:14" x14ac:dyDescent="0.2">
      <c r="A142" s="54"/>
      <c r="N142" s="57"/>
    </row>
    <row r="143" spans="1:14" x14ac:dyDescent="0.2">
      <c r="A143" s="54"/>
      <c r="N143" s="57"/>
    </row>
    <row r="144" spans="1:14" x14ac:dyDescent="0.2">
      <c r="A144" s="54"/>
      <c r="N144" s="57"/>
    </row>
    <row r="145" spans="1:14" x14ac:dyDescent="0.2">
      <c r="A145" s="54"/>
      <c r="N145" s="57"/>
    </row>
    <row r="146" spans="1:14" x14ac:dyDescent="0.2">
      <c r="A146" s="54"/>
      <c r="N146" s="57"/>
    </row>
    <row r="147" spans="1:14" x14ac:dyDescent="0.2">
      <c r="A147" s="54"/>
      <c r="N147" s="57"/>
    </row>
    <row r="148" spans="1:14" x14ac:dyDescent="0.2">
      <c r="A148" s="54"/>
      <c r="N148" s="57"/>
    </row>
    <row r="149" spans="1:14" x14ac:dyDescent="0.2">
      <c r="A149" s="54"/>
      <c r="N149" s="57"/>
    </row>
    <row r="150" spans="1:14" x14ac:dyDescent="0.2">
      <c r="A150" s="58"/>
      <c r="B150" s="59"/>
      <c r="C150" s="60"/>
      <c r="D150" s="59"/>
      <c r="E150" s="59"/>
      <c r="F150" s="59"/>
      <c r="G150" s="59"/>
      <c r="H150" s="59"/>
      <c r="I150" s="61"/>
      <c r="J150" s="167"/>
      <c r="K150" s="183"/>
      <c r="L150" s="167"/>
      <c r="M150" s="59"/>
      <c r="N150" s="62"/>
    </row>
  </sheetData>
  <protectedRanges>
    <protectedRange sqref="N2" name="Range1"/>
    <protectedRange sqref="J112" name="Range1_1"/>
    <protectedRange sqref="J117:J118" name="Range1_2"/>
  </protectedRanges>
  <autoFilter ref="A6:N8"/>
  <mergeCells count="8">
    <mergeCell ref="A4:N4"/>
    <mergeCell ref="C37:C38"/>
    <mergeCell ref="A139:J139"/>
    <mergeCell ref="A1:N1"/>
    <mergeCell ref="A2:B2"/>
    <mergeCell ref="C2:L2"/>
    <mergeCell ref="M2:N2"/>
    <mergeCell ref="A3:N3"/>
  </mergeCells>
  <phoneticPr fontId="1" type="noConversion"/>
  <conditionalFormatting sqref="B112 D112">
    <cfRule type="cellIs" dxfId="19" priority="9" stopIfTrue="1" operator="equal">
      <formula>#REF!</formula>
    </cfRule>
  </conditionalFormatting>
  <conditionalFormatting sqref="B112">
    <cfRule type="cellIs" dxfId="18" priority="8" stopIfTrue="1" operator="equal">
      <formula>#REF!</formula>
    </cfRule>
  </conditionalFormatting>
  <conditionalFormatting sqref="B116:B118 D116:D118">
    <cfRule type="cellIs" dxfId="17" priority="6" stopIfTrue="1" operator="equal">
      <formula>#REF!</formula>
    </cfRule>
  </conditionalFormatting>
  <conditionalFormatting sqref="B116:C118">
    <cfRule type="cellIs" dxfId="16" priority="4" stopIfTrue="1" operator="equal">
      <formula>#REF!</formula>
    </cfRule>
  </conditionalFormatting>
  <conditionalFormatting sqref="C30">
    <cfRule type="cellIs" dxfId="15" priority="24" stopIfTrue="1" operator="equal">
      <formula>#REF!</formula>
    </cfRule>
  </conditionalFormatting>
  <conditionalFormatting sqref="C74">
    <cfRule type="cellIs" dxfId="14" priority="10" stopIfTrue="1" operator="equal">
      <formula>#REF!</formula>
    </cfRule>
  </conditionalFormatting>
  <conditionalFormatting sqref="C104">
    <cfRule type="cellIs" dxfId="13" priority="21" stopIfTrue="1" operator="equal">
      <formula>#REF!</formula>
    </cfRule>
  </conditionalFormatting>
  <conditionalFormatting sqref="C111:C112">
    <cfRule type="cellIs" dxfId="12" priority="3" stopIfTrue="1" operator="equal">
      <formula>#REF!</formula>
    </cfRule>
  </conditionalFormatting>
  <conditionalFormatting sqref="C134">
    <cfRule type="cellIs" dxfId="11" priority="1" stopIfTrue="1" operator="equal">
      <formula>#REF!</formula>
    </cfRule>
  </conditionalFormatting>
  <conditionalFormatting sqref="D107:H110">
    <cfRule type="cellIs" dxfId="10" priority="26" stopIfTrue="1" operator="equal">
      <formula>#REF!</formula>
    </cfRule>
  </conditionalFormatting>
  <pageMargins left="0.7" right="0.7" top="0.75" bottom="0.75" header="0.3" footer="0.3"/>
  <pageSetup paperSize="9" orientation="portrait"/>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N234"/>
  <sheetViews>
    <sheetView view="pageBreakPreview" topLeftCell="A170" zoomScale="60" zoomScaleNormal="60" workbookViewId="0">
      <selection activeCell="I8" sqref="I8"/>
    </sheetView>
  </sheetViews>
  <sheetFormatPr defaultColWidth="9.140625" defaultRowHeight="23.25" x14ac:dyDescent="0.2"/>
  <cols>
    <col min="1" max="1" width="13" style="63" customWidth="1"/>
    <col min="2" max="2" width="22.7109375" style="7" customWidth="1"/>
    <col min="3" max="3" width="76.28515625" style="55" customWidth="1"/>
    <col min="4" max="8" width="14.42578125" style="7" customWidth="1"/>
    <col min="9" max="9" width="21.85546875" style="56" customWidth="1"/>
    <col min="10" max="10" width="15" style="166" customWidth="1"/>
    <col min="11" max="11" width="15" style="182" hidden="1" customWidth="1"/>
    <col min="12" max="12" width="26.42578125" style="166" customWidth="1"/>
    <col min="13" max="13" width="23.85546875" style="7" customWidth="1"/>
    <col min="14" max="14" width="40.7109375" style="7" customWidth="1"/>
    <col min="15" max="15" width="9.140625" style="7" customWidth="1"/>
    <col min="16" max="16384" width="9.140625" style="7"/>
  </cols>
  <sheetData>
    <row r="1" spans="1:14" ht="195.75" customHeight="1" x14ac:dyDescent="0.2">
      <c r="A1" s="558"/>
      <c r="B1" s="559"/>
      <c r="C1" s="559"/>
      <c r="D1" s="559"/>
      <c r="E1" s="559"/>
      <c r="F1" s="559"/>
      <c r="G1" s="559"/>
      <c r="H1" s="559"/>
      <c r="I1" s="559"/>
      <c r="J1" s="559"/>
      <c r="K1" s="559"/>
      <c r="L1" s="559"/>
      <c r="M1" s="559"/>
      <c r="N1" s="560"/>
    </row>
    <row r="2" spans="1:14" ht="54" customHeight="1" x14ac:dyDescent="0.2">
      <c r="A2" s="561" t="s">
        <v>12</v>
      </c>
      <c r="B2" s="562"/>
      <c r="C2" s="563" t="s">
        <v>13</v>
      </c>
      <c r="D2" s="564"/>
      <c r="E2" s="564"/>
      <c r="F2" s="564"/>
      <c r="G2" s="564"/>
      <c r="H2" s="564"/>
      <c r="I2" s="564"/>
      <c r="J2" s="564"/>
      <c r="K2" s="564"/>
      <c r="L2" s="565"/>
      <c r="M2" s="566" t="s">
        <v>14</v>
      </c>
      <c r="N2" s="567"/>
    </row>
    <row r="3" spans="1:14" ht="63.75" customHeight="1" x14ac:dyDescent="0.2">
      <c r="A3" s="568" t="s">
        <v>15</v>
      </c>
      <c r="B3" s="569"/>
      <c r="C3" s="569"/>
      <c r="D3" s="569"/>
      <c r="E3" s="569"/>
      <c r="F3" s="569"/>
      <c r="G3" s="569"/>
      <c r="H3" s="569"/>
      <c r="I3" s="569"/>
      <c r="J3" s="569"/>
      <c r="K3" s="569"/>
      <c r="L3" s="569"/>
      <c r="M3" s="569"/>
      <c r="N3" s="570"/>
    </row>
    <row r="4" spans="1:14" ht="50.25" customHeight="1" x14ac:dyDescent="0.2">
      <c r="A4" s="553" t="s">
        <v>397</v>
      </c>
      <c r="B4" s="554"/>
      <c r="C4" s="554"/>
      <c r="D4" s="554"/>
      <c r="E4" s="554"/>
      <c r="F4" s="554"/>
      <c r="G4" s="554"/>
      <c r="H4" s="554"/>
      <c r="I4" s="554"/>
      <c r="J4" s="554"/>
      <c r="K4" s="554"/>
      <c r="L4" s="554"/>
      <c r="M4" s="554"/>
      <c r="N4" s="555"/>
    </row>
    <row r="5" spans="1:14" ht="40.5" x14ac:dyDescent="0.2">
      <c r="A5" s="16" t="s">
        <v>16</v>
      </c>
      <c r="B5" s="17" t="s">
        <v>17</v>
      </c>
      <c r="C5" s="18" t="s">
        <v>18</v>
      </c>
      <c r="D5" s="19" t="s">
        <v>19</v>
      </c>
      <c r="E5" s="20" t="s">
        <v>180</v>
      </c>
      <c r="F5" s="20" t="s">
        <v>302</v>
      </c>
      <c r="G5" s="20" t="s">
        <v>303</v>
      </c>
      <c r="H5" s="20" t="s">
        <v>304</v>
      </c>
      <c r="I5" s="21" t="s">
        <v>305</v>
      </c>
      <c r="J5" s="170" t="s">
        <v>37</v>
      </c>
      <c r="K5" s="175" t="s">
        <v>306</v>
      </c>
      <c r="L5" s="21" t="s">
        <v>38</v>
      </c>
      <c r="M5" s="22" t="s">
        <v>39</v>
      </c>
      <c r="N5" s="23" t="s">
        <v>40</v>
      </c>
    </row>
    <row r="6" spans="1:14" ht="22.5" x14ac:dyDescent="0.2">
      <c r="A6" s="24"/>
      <c r="B6" s="4"/>
      <c r="C6" s="25"/>
      <c r="D6" s="20"/>
      <c r="E6" s="20"/>
      <c r="F6" s="20"/>
      <c r="G6" s="20"/>
      <c r="H6" s="20"/>
      <c r="I6" s="26"/>
      <c r="J6" s="101"/>
      <c r="K6" s="176"/>
      <c r="L6" s="26"/>
      <c r="M6" s="6"/>
      <c r="N6" s="27"/>
    </row>
    <row r="7" spans="1:14" ht="147" customHeight="1" x14ac:dyDescent="0.2">
      <c r="A7" s="28">
        <v>1</v>
      </c>
      <c r="B7" s="5">
        <v>2.6</v>
      </c>
      <c r="C7" s="33" t="s">
        <v>41</v>
      </c>
      <c r="D7" s="3"/>
      <c r="E7" s="3"/>
      <c r="F7" s="3"/>
      <c r="G7" s="3"/>
      <c r="H7" s="3"/>
      <c r="I7" s="14"/>
      <c r="J7" s="99"/>
      <c r="K7" s="177"/>
      <c r="L7" s="99"/>
      <c r="M7" s="6"/>
      <c r="N7" s="27"/>
    </row>
    <row r="8" spans="1:14" ht="22.5" x14ac:dyDescent="0.2">
      <c r="A8" s="28"/>
      <c r="B8" s="5"/>
      <c r="C8" s="33" t="s">
        <v>42</v>
      </c>
      <c r="D8" s="3" t="s">
        <v>43</v>
      </c>
      <c r="E8" s="3"/>
      <c r="F8" s="3"/>
      <c r="G8" s="3"/>
      <c r="H8" s="3"/>
      <c r="I8" s="337">
        <f>SUM(I9:I18)</f>
        <v>619.01400000000012</v>
      </c>
      <c r="J8" s="99">
        <v>205.45</v>
      </c>
      <c r="K8" s="177">
        <v>215.04451499999999</v>
      </c>
      <c r="L8" s="99">
        <f>J8*I8</f>
        <v>127176.42630000002</v>
      </c>
      <c r="M8" s="6"/>
      <c r="N8" s="27"/>
    </row>
    <row r="9" spans="1:14" ht="22.5" x14ac:dyDescent="0.2">
      <c r="A9" s="28"/>
      <c r="B9" s="5"/>
      <c r="C9" s="33" t="s">
        <v>342</v>
      </c>
      <c r="D9" s="3"/>
      <c r="E9" s="14">
        <f>7*3</f>
        <v>21</v>
      </c>
      <c r="F9" s="14">
        <f t="shared" ref="F9:G11" si="0">1.5+0.6</f>
        <v>2.1</v>
      </c>
      <c r="G9" s="14">
        <f t="shared" si="0"/>
        <v>2.1</v>
      </c>
      <c r="H9" s="14">
        <v>3</v>
      </c>
      <c r="I9" s="14">
        <f>PRODUCT(E9:H9)</f>
        <v>277.83000000000004</v>
      </c>
      <c r="J9" s="99"/>
      <c r="K9" s="177"/>
      <c r="L9" s="99"/>
      <c r="M9" s="6"/>
      <c r="N9" s="27"/>
    </row>
    <row r="10" spans="1:14" ht="22.5" x14ac:dyDescent="0.2">
      <c r="A10" s="28"/>
      <c r="B10" s="5"/>
      <c r="C10" s="33"/>
      <c r="D10" s="3"/>
      <c r="E10" s="14">
        <f>3*5</f>
        <v>15</v>
      </c>
      <c r="F10" s="14">
        <f t="shared" si="0"/>
        <v>2.1</v>
      </c>
      <c r="G10" s="14">
        <f t="shared" si="0"/>
        <v>2.1</v>
      </c>
      <c r="H10" s="14">
        <v>3</v>
      </c>
      <c r="I10" s="14">
        <f>PRODUCT(E10:H10)</f>
        <v>198.45000000000002</v>
      </c>
      <c r="J10" s="99"/>
      <c r="K10" s="177"/>
      <c r="L10" s="99"/>
      <c r="M10" s="6"/>
      <c r="N10" s="27"/>
    </row>
    <row r="11" spans="1:14" ht="22.5" x14ac:dyDescent="0.2">
      <c r="A11" s="28"/>
      <c r="B11" s="5"/>
      <c r="C11" s="33"/>
      <c r="D11" s="3"/>
      <c r="E11" s="14">
        <f>3*3</f>
        <v>9</v>
      </c>
      <c r="F11" s="14">
        <f t="shared" si="0"/>
        <v>2.1</v>
      </c>
      <c r="G11" s="14">
        <f t="shared" si="0"/>
        <v>2.1</v>
      </c>
      <c r="H11" s="14">
        <v>3</v>
      </c>
      <c r="I11" s="14">
        <f>PRODUCT(E11:H11)</f>
        <v>119.07000000000002</v>
      </c>
      <c r="J11" s="99"/>
      <c r="K11" s="177"/>
      <c r="L11" s="99"/>
      <c r="M11" s="6"/>
      <c r="N11" s="27"/>
    </row>
    <row r="12" spans="1:14" ht="22.5" x14ac:dyDescent="0.2">
      <c r="A12" s="28"/>
      <c r="B12" s="5"/>
      <c r="C12" s="33"/>
      <c r="D12" s="3"/>
      <c r="E12" s="14"/>
      <c r="F12" s="14"/>
      <c r="G12" s="14"/>
      <c r="H12" s="14"/>
      <c r="I12" s="14"/>
      <c r="J12" s="99"/>
      <c r="K12" s="177"/>
      <c r="L12" s="99"/>
      <c r="M12" s="6"/>
      <c r="N12" s="27"/>
    </row>
    <row r="13" spans="1:14" ht="22.5" x14ac:dyDescent="0.2">
      <c r="A13" s="28"/>
      <c r="B13" s="5"/>
      <c r="C13" s="33" t="s">
        <v>347</v>
      </c>
      <c r="D13" s="3"/>
      <c r="E13" s="14">
        <v>3</v>
      </c>
      <c r="F13" s="14">
        <v>22.86</v>
      </c>
      <c r="G13" s="14">
        <f t="shared" ref="G13:G18" si="1">0.3+0.2</f>
        <v>0.5</v>
      </c>
      <c r="H13" s="14">
        <v>0.2</v>
      </c>
      <c r="I13" s="14">
        <f t="shared" ref="I13:I18" si="2">PRODUCT(E13:H13)</f>
        <v>6.8580000000000005</v>
      </c>
      <c r="J13" s="99"/>
      <c r="K13" s="177"/>
      <c r="L13" s="99"/>
      <c r="M13" s="6"/>
      <c r="N13" s="27"/>
    </row>
    <row r="14" spans="1:14" ht="22.5" x14ac:dyDescent="0.2">
      <c r="A14" s="28"/>
      <c r="B14" s="5"/>
      <c r="C14" s="33"/>
      <c r="D14" s="3"/>
      <c r="E14" s="14">
        <v>7</v>
      </c>
      <c r="F14" s="14">
        <v>6.6</v>
      </c>
      <c r="G14" s="14">
        <f t="shared" si="1"/>
        <v>0.5</v>
      </c>
      <c r="H14" s="14">
        <v>0.2</v>
      </c>
      <c r="I14" s="14">
        <f t="shared" si="2"/>
        <v>4.62</v>
      </c>
      <c r="J14" s="99"/>
      <c r="K14" s="177"/>
      <c r="L14" s="99"/>
      <c r="M14" s="6"/>
      <c r="N14" s="27"/>
    </row>
    <row r="15" spans="1:14" ht="22.5" x14ac:dyDescent="0.2">
      <c r="A15" s="28"/>
      <c r="B15" s="5"/>
      <c r="C15" s="33"/>
      <c r="D15" s="3"/>
      <c r="E15" s="14">
        <v>3</v>
      </c>
      <c r="F15" s="14">
        <v>15.24</v>
      </c>
      <c r="G15" s="14">
        <f t="shared" si="1"/>
        <v>0.5</v>
      </c>
      <c r="H15" s="14">
        <v>0.2</v>
      </c>
      <c r="I15" s="14">
        <f t="shared" si="2"/>
        <v>4.5720000000000001</v>
      </c>
      <c r="J15" s="99"/>
      <c r="K15" s="177"/>
      <c r="L15" s="99"/>
      <c r="M15" s="6"/>
      <c r="N15" s="27"/>
    </row>
    <row r="16" spans="1:14" ht="22.5" x14ac:dyDescent="0.2">
      <c r="A16" s="28"/>
      <c r="B16" s="5"/>
      <c r="C16" s="33"/>
      <c r="D16" s="3"/>
      <c r="E16" s="14">
        <v>5</v>
      </c>
      <c r="F16" s="14">
        <v>6.66</v>
      </c>
      <c r="G16" s="14">
        <f t="shared" si="1"/>
        <v>0.5</v>
      </c>
      <c r="H16" s="14">
        <v>0.2</v>
      </c>
      <c r="I16" s="14">
        <f t="shared" si="2"/>
        <v>3.33</v>
      </c>
      <c r="J16" s="99"/>
      <c r="K16" s="177"/>
      <c r="L16" s="99"/>
      <c r="M16" s="6"/>
      <c r="N16" s="27"/>
    </row>
    <row r="17" spans="1:14" ht="22.5" x14ac:dyDescent="0.2">
      <c r="A17" s="28"/>
      <c r="B17" s="5"/>
      <c r="C17" s="33"/>
      <c r="D17" s="3"/>
      <c r="E17" s="14">
        <v>3</v>
      </c>
      <c r="F17" s="14">
        <v>7.62</v>
      </c>
      <c r="G17" s="14">
        <f t="shared" si="1"/>
        <v>0.5</v>
      </c>
      <c r="H17" s="14">
        <v>0.2</v>
      </c>
      <c r="I17" s="14">
        <f t="shared" si="2"/>
        <v>2.286</v>
      </c>
      <c r="J17" s="99"/>
      <c r="K17" s="177"/>
      <c r="L17" s="99"/>
      <c r="M17" s="6"/>
      <c r="N17" s="27"/>
    </row>
    <row r="18" spans="1:14" ht="22.5" x14ac:dyDescent="0.2">
      <c r="A18" s="28"/>
      <c r="B18" s="5"/>
      <c r="C18" s="33"/>
      <c r="D18" s="3"/>
      <c r="E18" s="14">
        <v>3</v>
      </c>
      <c r="F18" s="14">
        <v>6.66</v>
      </c>
      <c r="G18" s="14">
        <f t="shared" si="1"/>
        <v>0.5</v>
      </c>
      <c r="H18" s="14">
        <v>0.2</v>
      </c>
      <c r="I18" s="14">
        <f t="shared" si="2"/>
        <v>1.9980000000000002</v>
      </c>
      <c r="J18" s="99"/>
      <c r="K18" s="177"/>
      <c r="L18" s="99"/>
      <c r="M18" s="6"/>
      <c r="N18" s="27"/>
    </row>
    <row r="19" spans="1:14" ht="22.5" x14ac:dyDescent="0.2">
      <c r="A19" s="28"/>
      <c r="B19" s="5"/>
      <c r="C19" s="33"/>
      <c r="D19" s="3"/>
      <c r="E19" s="14"/>
      <c r="F19" s="14"/>
      <c r="G19" s="14"/>
      <c r="H19" s="14"/>
      <c r="I19" s="14"/>
      <c r="J19" s="99"/>
      <c r="K19" s="177"/>
      <c r="L19" s="99"/>
      <c r="M19" s="6"/>
      <c r="N19" s="27"/>
    </row>
    <row r="20" spans="1:14" ht="60.75" x14ac:dyDescent="0.2">
      <c r="A20" s="28">
        <v>2</v>
      </c>
      <c r="B20" s="29">
        <v>2.2599999999999998</v>
      </c>
      <c r="C20" s="30" t="s">
        <v>47</v>
      </c>
      <c r="D20" s="31"/>
      <c r="E20" s="14"/>
      <c r="F20" s="14"/>
      <c r="G20" s="14"/>
      <c r="H20" s="2"/>
      <c r="I20" s="14"/>
      <c r="J20" s="14"/>
      <c r="K20" s="172">
        <v>0</v>
      </c>
      <c r="L20" s="14">
        <f>J20*I20</f>
        <v>0</v>
      </c>
      <c r="M20" s="6"/>
      <c r="N20" s="27"/>
    </row>
    <row r="21" spans="1:14" ht="22.5" x14ac:dyDescent="0.2">
      <c r="A21" s="28"/>
      <c r="B21" s="29" t="s">
        <v>48</v>
      </c>
      <c r="C21" s="30" t="s">
        <v>49</v>
      </c>
      <c r="D21" s="31" t="s">
        <v>50</v>
      </c>
      <c r="E21" s="31"/>
      <c r="F21" s="31"/>
      <c r="G21" s="31"/>
      <c r="H21" s="3" t="s">
        <v>309</v>
      </c>
      <c r="I21" s="337">
        <f>SUM(I22:I24)</f>
        <v>297.67500000000007</v>
      </c>
      <c r="J21" s="173">
        <v>105</v>
      </c>
      <c r="K21" s="172">
        <v>91.845050000000001</v>
      </c>
      <c r="L21" s="14">
        <f>J21*I21</f>
        <v>31255.875000000007</v>
      </c>
      <c r="M21" s="6"/>
      <c r="N21" s="27"/>
    </row>
    <row r="22" spans="1:14" ht="22.5" x14ac:dyDescent="0.2">
      <c r="A22" s="28"/>
      <c r="B22" s="82"/>
      <c r="C22" s="83"/>
      <c r="D22" s="84"/>
      <c r="E22" s="14">
        <f t="shared" ref="E22:G24" si="3">E9</f>
        <v>21</v>
      </c>
      <c r="F22" s="14">
        <f t="shared" si="3"/>
        <v>2.1</v>
      </c>
      <c r="G22" s="14">
        <f t="shared" si="3"/>
        <v>2.1</v>
      </c>
      <c r="H22" s="2">
        <v>1.5</v>
      </c>
      <c r="I22" s="14">
        <f>PRODUCT(E22:H22)</f>
        <v>138.91500000000002</v>
      </c>
      <c r="J22" s="184"/>
      <c r="K22" s="172"/>
      <c r="L22" s="14"/>
      <c r="M22" s="6"/>
      <c r="N22" s="27"/>
    </row>
    <row r="23" spans="1:14" ht="22.5" x14ac:dyDescent="0.2">
      <c r="A23" s="28"/>
      <c r="B23" s="82"/>
      <c r="C23" s="83"/>
      <c r="D23" s="84"/>
      <c r="E23" s="14">
        <f t="shared" si="3"/>
        <v>15</v>
      </c>
      <c r="F23" s="14">
        <f t="shared" si="3"/>
        <v>2.1</v>
      </c>
      <c r="G23" s="14">
        <f t="shared" si="3"/>
        <v>2.1</v>
      </c>
      <c r="H23" s="2">
        <v>1.5</v>
      </c>
      <c r="I23" s="14">
        <f>PRODUCT(E23:H23)</f>
        <v>99.225000000000009</v>
      </c>
      <c r="J23" s="184"/>
      <c r="K23" s="172"/>
      <c r="L23" s="14"/>
      <c r="M23" s="6"/>
      <c r="N23" s="27"/>
    </row>
    <row r="24" spans="1:14" ht="22.5" x14ac:dyDescent="0.2">
      <c r="A24" s="28"/>
      <c r="B24" s="5"/>
      <c r="C24" s="33"/>
      <c r="D24" s="3"/>
      <c r="E24" s="14">
        <f t="shared" si="3"/>
        <v>9</v>
      </c>
      <c r="F24" s="14">
        <f t="shared" si="3"/>
        <v>2.1</v>
      </c>
      <c r="G24" s="14">
        <f t="shared" si="3"/>
        <v>2.1</v>
      </c>
      <c r="H24" s="2">
        <v>1.5</v>
      </c>
      <c r="I24" s="14">
        <f>PRODUCT(E24:H24)</f>
        <v>59.535000000000011</v>
      </c>
      <c r="J24" s="99"/>
      <c r="K24" s="177"/>
      <c r="L24" s="99"/>
      <c r="M24" s="6"/>
      <c r="N24" s="27"/>
    </row>
    <row r="25" spans="1:14" ht="105" x14ac:dyDescent="0.2">
      <c r="A25" s="28">
        <v>3</v>
      </c>
      <c r="B25" s="5">
        <v>2.25</v>
      </c>
      <c r="C25" s="33" t="s">
        <v>59</v>
      </c>
      <c r="D25" s="3" t="s">
        <v>60</v>
      </c>
      <c r="E25" s="3"/>
      <c r="F25" s="3"/>
      <c r="G25" s="3"/>
      <c r="H25" s="3"/>
      <c r="I25" s="14">
        <v>337</v>
      </c>
      <c r="J25" s="99">
        <v>253.95</v>
      </c>
      <c r="K25" s="177">
        <v>182.56465499999999</v>
      </c>
      <c r="L25" s="99">
        <f>J25*I25</f>
        <v>85581.15</v>
      </c>
      <c r="M25" s="6"/>
      <c r="N25" s="27"/>
    </row>
    <row r="26" spans="1:14" ht="22.5" x14ac:dyDescent="0.2">
      <c r="A26" s="28"/>
      <c r="B26" s="5"/>
      <c r="C26" s="33"/>
      <c r="D26" s="3"/>
      <c r="E26" s="3"/>
      <c r="F26" s="3"/>
      <c r="G26" s="3"/>
      <c r="H26" s="3"/>
      <c r="I26" s="14">
        <f>I8</f>
        <v>619.01400000000012</v>
      </c>
      <c r="J26" s="99"/>
      <c r="K26" s="177"/>
      <c r="L26" s="99"/>
      <c r="M26" s="6"/>
      <c r="N26" s="27"/>
    </row>
    <row r="27" spans="1:14" ht="84" x14ac:dyDescent="0.2">
      <c r="A27" s="28">
        <v>4</v>
      </c>
      <c r="B27" s="5">
        <v>1.1000000000000001</v>
      </c>
      <c r="C27" s="33" t="s">
        <v>61</v>
      </c>
      <c r="D27" s="6"/>
      <c r="E27" s="6"/>
      <c r="F27" s="6"/>
      <c r="G27" s="6"/>
      <c r="H27" s="6"/>
      <c r="I27" s="14"/>
      <c r="J27" s="99"/>
      <c r="K27" s="177">
        <v>0</v>
      </c>
      <c r="L27" s="99">
        <f>J27*I27</f>
        <v>0</v>
      </c>
      <c r="M27" s="6"/>
      <c r="N27" s="27"/>
    </row>
    <row r="28" spans="1:14" ht="22.5" x14ac:dyDescent="0.2">
      <c r="A28" s="28"/>
      <c r="B28" s="5" t="s">
        <v>62</v>
      </c>
      <c r="C28" s="33" t="s">
        <v>63</v>
      </c>
      <c r="D28" s="3" t="s">
        <v>60</v>
      </c>
      <c r="E28" s="3"/>
      <c r="F28" s="3"/>
      <c r="G28" s="3"/>
      <c r="H28" s="3"/>
      <c r="I28" s="337">
        <f>I8</f>
        <v>619.01400000000012</v>
      </c>
      <c r="J28" s="99">
        <v>271.45</v>
      </c>
      <c r="K28" s="177">
        <v>98.563495000000003</v>
      </c>
      <c r="L28" s="99">
        <f>J28*I28</f>
        <v>168031.35030000002</v>
      </c>
      <c r="M28" s="6"/>
      <c r="N28" s="27"/>
    </row>
    <row r="29" spans="1:14" ht="22.5" x14ac:dyDescent="0.2">
      <c r="A29" s="28"/>
      <c r="B29" s="5" t="s">
        <v>64</v>
      </c>
      <c r="C29" s="33" t="s">
        <v>65</v>
      </c>
      <c r="D29" s="3" t="s">
        <v>60</v>
      </c>
      <c r="E29" s="3"/>
      <c r="F29" s="3"/>
      <c r="G29" s="3"/>
      <c r="H29" s="3"/>
      <c r="I29" s="14"/>
      <c r="J29" s="99">
        <v>434.32</v>
      </c>
      <c r="K29" s="177">
        <v>147.84252799999999</v>
      </c>
      <c r="L29" s="99">
        <f>J29*I29</f>
        <v>0</v>
      </c>
      <c r="M29" s="6"/>
      <c r="N29" s="27"/>
    </row>
    <row r="30" spans="1:14" ht="182.25" x14ac:dyDescent="0.2">
      <c r="A30" s="28">
        <v>5</v>
      </c>
      <c r="B30" s="32">
        <v>810</v>
      </c>
      <c r="C30" s="15" t="s">
        <v>308</v>
      </c>
      <c r="D30" s="3"/>
      <c r="E30" s="3"/>
      <c r="F30" s="3"/>
      <c r="G30" s="3"/>
      <c r="H30" s="3"/>
      <c r="I30" s="14"/>
      <c r="J30" s="99"/>
      <c r="K30" s="177">
        <v>0</v>
      </c>
      <c r="L30" s="99">
        <f>J30*I30</f>
        <v>0</v>
      </c>
      <c r="M30" s="6"/>
      <c r="N30" s="27"/>
    </row>
    <row r="31" spans="1:14" ht="22.5" x14ac:dyDescent="0.2">
      <c r="A31" s="28">
        <v>6</v>
      </c>
      <c r="B31" s="32">
        <v>810</v>
      </c>
      <c r="C31" s="33" t="s">
        <v>66</v>
      </c>
      <c r="D31" s="3" t="s">
        <v>60</v>
      </c>
      <c r="E31" s="3"/>
      <c r="F31" s="3"/>
      <c r="G31" s="3"/>
      <c r="H31" s="3"/>
      <c r="I31" s="337">
        <f>SUM(I32:I37)</f>
        <v>337.02240000000023</v>
      </c>
      <c r="J31" s="99">
        <v>500</v>
      </c>
      <c r="K31" s="177">
        <v>730.25</v>
      </c>
      <c r="L31" s="99">
        <f>J31*I31</f>
        <v>168511.20000000013</v>
      </c>
      <c r="M31" s="6"/>
      <c r="N31" s="27"/>
    </row>
    <row r="32" spans="1:14" ht="22.5" x14ac:dyDescent="0.2">
      <c r="A32" s="28"/>
      <c r="B32" s="32"/>
      <c r="C32" s="33"/>
      <c r="D32" s="3"/>
      <c r="E32" s="3"/>
      <c r="F32" s="3"/>
      <c r="G32" s="3"/>
      <c r="H32" s="3"/>
      <c r="I32" s="14"/>
      <c r="J32" s="99"/>
      <c r="K32" s="177"/>
      <c r="L32" s="99"/>
      <c r="M32" s="6"/>
      <c r="N32" s="27"/>
    </row>
    <row r="33" spans="1:14" ht="22.5" x14ac:dyDescent="0.2">
      <c r="A33" s="28"/>
      <c r="B33" s="32"/>
      <c r="C33" s="33"/>
      <c r="D33" s="3"/>
      <c r="E33" s="3"/>
      <c r="F33" s="3"/>
      <c r="G33" s="3"/>
      <c r="H33" s="14">
        <f>I8</f>
        <v>619.01400000000012</v>
      </c>
      <c r="I33" s="14">
        <f>PRODUCT(H33)</f>
        <v>619.01400000000012</v>
      </c>
      <c r="J33" s="99"/>
      <c r="K33" s="177"/>
      <c r="L33" s="99"/>
      <c r="M33" s="6"/>
      <c r="N33" s="27"/>
    </row>
    <row r="34" spans="1:14" ht="22.5" x14ac:dyDescent="0.2">
      <c r="A34" s="28"/>
      <c r="B34" s="32"/>
      <c r="C34" s="33" t="s">
        <v>337</v>
      </c>
      <c r="D34" s="3"/>
      <c r="E34" s="3"/>
      <c r="F34" s="3"/>
      <c r="G34" s="3"/>
      <c r="H34" s="14">
        <f>-I41</f>
        <v>-20.991599999999998</v>
      </c>
      <c r="I34" s="14">
        <f>PRODUCT(H34)</f>
        <v>-20.991599999999998</v>
      </c>
      <c r="J34" s="99"/>
      <c r="K34" s="177"/>
      <c r="L34" s="99"/>
      <c r="M34" s="6"/>
      <c r="N34" s="27"/>
    </row>
    <row r="35" spans="1:14" ht="22.5" x14ac:dyDescent="0.2">
      <c r="A35" s="28"/>
      <c r="B35" s="32"/>
      <c r="C35" s="33" t="s">
        <v>338</v>
      </c>
      <c r="D35" s="3"/>
      <c r="E35" s="3"/>
      <c r="F35" s="3"/>
      <c r="G35" s="3"/>
      <c r="H35" s="14">
        <f>-I59</f>
        <v>-50.400000000000006</v>
      </c>
      <c r="I35" s="14">
        <f>PRODUCT(H35)</f>
        <v>-50.400000000000006</v>
      </c>
      <c r="J35" s="99"/>
      <c r="K35" s="177"/>
      <c r="L35" s="99"/>
      <c r="M35" s="6"/>
      <c r="N35" s="27"/>
    </row>
    <row r="36" spans="1:14" ht="22.5" x14ac:dyDescent="0.2">
      <c r="A36" s="28"/>
      <c r="B36" s="32"/>
      <c r="C36" s="33"/>
      <c r="D36" s="3"/>
      <c r="E36" s="3"/>
      <c r="F36" s="3"/>
      <c r="G36" s="3"/>
      <c r="H36" s="14"/>
      <c r="I36" s="14"/>
      <c r="J36" s="99"/>
      <c r="K36" s="177"/>
      <c r="L36" s="99"/>
      <c r="M36" s="6"/>
      <c r="N36" s="27"/>
    </row>
    <row r="37" spans="1:14" ht="22.5" x14ac:dyDescent="0.2">
      <c r="A37" s="28"/>
      <c r="B37" s="32"/>
      <c r="C37" s="33" t="s">
        <v>339</v>
      </c>
      <c r="D37" s="3"/>
      <c r="E37" s="3"/>
      <c r="F37" s="3"/>
      <c r="G37" s="3"/>
      <c r="H37" s="14">
        <f>-I61-I62-I63-I66</f>
        <v>-210.59999999999997</v>
      </c>
      <c r="I37" s="14">
        <f>PRODUCT(H37)</f>
        <v>-210.59999999999997</v>
      </c>
      <c r="J37" s="99"/>
      <c r="K37" s="177"/>
      <c r="L37" s="99"/>
      <c r="M37" s="6"/>
      <c r="N37" s="27"/>
    </row>
    <row r="38" spans="1:14" ht="22.5" x14ac:dyDescent="0.2">
      <c r="A38" s="28">
        <v>7</v>
      </c>
      <c r="B38" s="32">
        <v>982</v>
      </c>
      <c r="C38" s="33" t="s">
        <v>68</v>
      </c>
      <c r="D38" s="3" t="s">
        <v>60</v>
      </c>
      <c r="E38" s="3"/>
      <c r="F38" s="3"/>
      <c r="G38" s="3"/>
      <c r="H38" s="3"/>
      <c r="I38" s="14"/>
      <c r="J38" s="99">
        <v>1500</v>
      </c>
      <c r="K38" s="177">
        <v>3024</v>
      </c>
      <c r="L38" s="99">
        <f>J38*I38</f>
        <v>0</v>
      </c>
      <c r="M38" s="6"/>
      <c r="N38" s="27"/>
    </row>
    <row r="39" spans="1:14" ht="22.5" x14ac:dyDescent="0.2">
      <c r="A39" s="28">
        <v>8</v>
      </c>
      <c r="B39" s="5"/>
      <c r="C39" s="33" t="s">
        <v>69</v>
      </c>
      <c r="D39" s="3"/>
      <c r="E39" s="3"/>
      <c r="F39" s="3"/>
      <c r="G39" s="3"/>
      <c r="H39" s="3"/>
      <c r="I39" s="14"/>
      <c r="J39" s="99"/>
      <c r="K39" s="177"/>
      <c r="L39" s="99">
        <f>J39*I39</f>
        <v>0</v>
      </c>
      <c r="M39" s="6"/>
      <c r="N39" s="27"/>
    </row>
    <row r="40" spans="1:14" ht="63" x14ac:dyDescent="0.2">
      <c r="A40" s="28">
        <v>9</v>
      </c>
      <c r="B40" s="5">
        <v>4.0999999999999996</v>
      </c>
      <c r="C40" s="33" t="s">
        <v>74</v>
      </c>
      <c r="D40" s="3"/>
      <c r="E40" s="3"/>
      <c r="F40" s="3"/>
      <c r="G40" s="3"/>
      <c r="H40" s="3"/>
      <c r="I40" s="14"/>
      <c r="J40" s="99"/>
      <c r="K40" s="177"/>
      <c r="L40" s="99">
        <f>J40*I40</f>
        <v>0</v>
      </c>
      <c r="M40" s="6"/>
      <c r="N40" s="27"/>
    </row>
    <row r="41" spans="1:14" ht="84" x14ac:dyDescent="0.2">
      <c r="A41" s="28"/>
      <c r="B41" s="5" t="s">
        <v>75</v>
      </c>
      <c r="C41" s="33" t="s">
        <v>76</v>
      </c>
      <c r="D41" s="3" t="s">
        <v>43</v>
      </c>
      <c r="E41" s="3"/>
      <c r="F41" s="3"/>
      <c r="G41" s="3"/>
      <c r="H41" s="3" t="s">
        <v>309</v>
      </c>
      <c r="I41" s="14">
        <f>SUM(I42:I52)</f>
        <v>20.991599999999998</v>
      </c>
      <c r="J41" s="99">
        <v>6833.4</v>
      </c>
      <c r="K41" s="177">
        <v>4811.3969399999996</v>
      </c>
      <c r="L41" s="99">
        <f>J41*I41</f>
        <v>143443.99943999999</v>
      </c>
      <c r="M41" s="6"/>
      <c r="N41" s="27"/>
    </row>
    <row r="42" spans="1:14" ht="22.5" x14ac:dyDescent="0.2">
      <c r="A42" s="28"/>
      <c r="B42" s="5"/>
      <c r="C42" s="33" t="s">
        <v>332</v>
      </c>
      <c r="D42" s="3"/>
      <c r="E42" s="14">
        <f>E9</f>
        <v>21</v>
      </c>
      <c r="F42" s="14">
        <f t="shared" ref="F42:G44" si="4">F9-0.6+0.2</f>
        <v>1.7</v>
      </c>
      <c r="G42" s="14">
        <f t="shared" si="4"/>
        <v>1.7</v>
      </c>
      <c r="H42" s="14">
        <v>0.1</v>
      </c>
      <c r="I42" s="14">
        <f>PRODUCT(E42:H42)</f>
        <v>6.0689999999999991</v>
      </c>
      <c r="J42" s="99"/>
      <c r="K42" s="177"/>
      <c r="L42" s="99"/>
      <c r="M42" s="6"/>
      <c r="N42" s="27"/>
    </row>
    <row r="43" spans="1:14" ht="22.5" x14ac:dyDescent="0.2">
      <c r="A43" s="28"/>
      <c r="B43" s="5"/>
      <c r="C43" s="33"/>
      <c r="D43" s="3"/>
      <c r="E43" s="14">
        <f>E10</f>
        <v>15</v>
      </c>
      <c r="F43" s="14">
        <f t="shared" si="4"/>
        <v>1.7</v>
      </c>
      <c r="G43" s="14">
        <f t="shared" si="4"/>
        <v>1.7</v>
      </c>
      <c r="H43" s="14">
        <v>0.1</v>
      </c>
      <c r="I43" s="14">
        <f>PRODUCT(E43:H43)</f>
        <v>4.335</v>
      </c>
      <c r="J43" s="99"/>
      <c r="K43" s="177"/>
      <c r="L43" s="99"/>
      <c r="M43" s="6"/>
      <c r="N43" s="27"/>
    </row>
    <row r="44" spans="1:14" ht="22.5" x14ac:dyDescent="0.2">
      <c r="A44" s="28"/>
      <c r="B44" s="5"/>
      <c r="C44" s="33"/>
      <c r="D44" s="3"/>
      <c r="E44" s="14">
        <f>E11</f>
        <v>9</v>
      </c>
      <c r="F44" s="14">
        <f t="shared" si="4"/>
        <v>1.7</v>
      </c>
      <c r="G44" s="14">
        <f t="shared" si="4"/>
        <v>1.7</v>
      </c>
      <c r="H44" s="14">
        <v>0.1</v>
      </c>
      <c r="I44" s="14">
        <f>PRODUCT(E44:H44)</f>
        <v>2.601</v>
      </c>
      <c r="J44" s="99"/>
      <c r="K44" s="177"/>
      <c r="L44" s="99"/>
      <c r="M44" s="6"/>
      <c r="N44" s="27"/>
    </row>
    <row r="45" spans="1:14" ht="22.5" x14ac:dyDescent="0.2">
      <c r="A45" s="28"/>
      <c r="B45" s="5"/>
      <c r="C45" s="33"/>
      <c r="D45" s="3"/>
      <c r="E45" s="14"/>
      <c r="F45" s="14"/>
      <c r="G45" s="14"/>
      <c r="H45" s="14"/>
      <c r="I45" s="14"/>
      <c r="J45" s="99"/>
      <c r="K45" s="177"/>
      <c r="L45" s="99"/>
      <c r="M45" s="6"/>
      <c r="N45" s="27"/>
    </row>
    <row r="46" spans="1:14" ht="22.5" x14ac:dyDescent="0.2">
      <c r="A46" s="28"/>
      <c r="B46" s="5"/>
      <c r="C46" s="33"/>
      <c r="D46" s="3"/>
      <c r="E46" s="14">
        <f t="shared" ref="E46:F51" si="5">E13</f>
        <v>3</v>
      </c>
      <c r="F46" s="14">
        <f t="shared" si="5"/>
        <v>22.86</v>
      </c>
      <c r="G46" s="2">
        <f t="shared" ref="G46:G51" si="6">G13-0.05</f>
        <v>0.45</v>
      </c>
      <c r="H46" s="34">
        <v>7.4999999999999997E-2</v>
      </c>
      <c r="I46" s="14">
        <f t="shared" ref="I46:I51" si="7">PRODUCT(E46:H46)</f>
        <v>2.314575</v>
      </c>
      <c r="J46" s="99"/>
      <c r="K46" s="177"/>
      <c r="L46" s="99"/>
      <c r="M46" s="6"/>
      <c r="N46" s="27"/>
    </row>
    <row r="47" spans="1:14" ht="22.5" x14ac:dyDescent="0.2">
      <c r="A47" s="28"/>
      <c r="B47" s="5"/>
      <c r="C47" s="33"/>
      <c r="D47" s="3"/>
      <c r="E47" s="14">
        <f t="shared" si="5"/>
        <v>7</v>
      </c>
      <c r="F47" s="14">
        <f t="shared" si="5"/>
        <v>6.6</v>
      </c>
      <c r="G47" s="2">
        <f t="shared" si="6"/>
        <v>0.45</v>
      </c>
      <c r="H47" s="34">
        <v>7.4999999999999997E-2</v>
      </c>
      <c r="I47" s="14">
        <f t="shared" si="7"/>
        <v>1.5592499999999998</v>
      </c>
      <c r="J47" s="99"/>
      <c r="K47" s="177"/>
      <c r="L47" s="99"/>
      <c r="M47" s="6"/>
      <c r="N47" s="27"/>
    </row>
    <row r="48" spans="1:14" ht="22.5" x14ac:dyDescent="0.2">
      <c r="A48" s="28"/>
      <c r="B48" s="5"/>
      <c r="C48" s="33"/>
      <c r="D48" s="3"/>
      <c r="E48" s="14">
        <f t="shared" si="5"/>
        <v>3</v>
      </c>
      <c r="F48" s="14">
        <f t="shared" si="5"/>
        <v>15.24</v>
      </c>
      <c r="G48" s="2">
        <f t="shared" si="6"/>
        <v>0.45</v>
      </c>
      <c r="H48" s="34">
        <v>7.4999999999999997E-2</v>
      </c>
      <c r="I48" s="14">
        <f t="shared" si="7"/>
        <v>1.54305</v>
      </c>
      <c r="J48" s="99"/>
      <c r="K48" s="177"/>
      <c r="L48" s="99"/>
      <c r="M48" s="6"/>
      <c r="N48" s="27"/>
    </row>
    <row r="49" spans="1:14" ht="22.5" x14ac:dyDescent="0.2">
      <c r="A49" s="28"/>
      <c r="B49" s="5"/>
      <c r="C49" s="33"/>
      <c r="D49" s="3"/>
      <c r="E49" s="14">
        <f t="shared" si="5"/>
        <v>5</v>
      </c>
      <c r="F49" s="14">
        <f t="shared" si="5"/>
        <v>6.66</v>
      </c>
      <c r="G49" s="2">
        <f t="shared" si="6"/>
        <v>0.45</v>
      </c>
      <c r="H49" s="34">
        <v>7.4999999999999997E-2</v>
      </c>
      <c r="I49" s="14">
        <f t="shared" si="7"/>
        <v>1.123875</v>
      </c>
      <c r="J49" s="99"/>
      <c r="K49" s="177"/>
      <c r="L49" s="99"/>
      <c r="M49" s="6"/>
      <c r="N49" s="27"/>
    </row>
    <row r="50" spans="1:14" ht="22.5" x14ac:dyDescent="0.2">
      <c r="A50" s="28"/>
      <c r="B50" s="5"/>
      <c r="C50" s="33"/>
      <c r="D50" s="3"/>
      <c r="E50" s="14">
        <f t="shared" si="5"/>
        <v>3</v>
      </c>
      <c r="F50" s="14">
        <f t="shared" si="5"/>
        <v>7.62</v>
      </c>
      <c r="G50" s="2">
        <f t="shared" si="6"/>
        <v>0.45</v>
      </c>
      <c r="H50" s="34">
        <v>7.4999999999999997E-2</v>
      </c>
      <c r="I50" s="14">
        <f t="shared" si="7"/>
        <v>0.77152500000000002</v>
      </c>
      <c r="J50" s="99"/>
      <c r="K50" s="177"/>
      <c r="L50" s="99"/>
      <c r="M50" s="6"/>
      <c r="N50" s="27"/>
    </row>
    <row r="51" spans="1:14" ht="22.5" x14ac:dyDescent="0.2">
      <c r="A51" s="28"/>
      <c r="B51" s="5"/>
      <c r="C51" s="33"/>
      <c r="D51" s="3"/>
      <c r="E51" s="14">
        <f t="shared" si="5"/>
        <v>3</v>
      </c>
      <c r="F51" s="14">
        <f t="shared" si="5"/>
        <v>6.66</v>
      </c>
      <c r="G51" s="2">
        <f t="shared" si="6"/>
        <v>0.45</v>
      </c>
      <c r="H51" s="34">
        <v>7.4999999999999997E-2</v>
      </c>
      <c r="I51" s="14">
        <f t="shared" si="7"/>
        <v>0.67432499999999995</v>
      </c>
      <c r="J51" s="99"/>
      <c r="K51" s="177"/>
      <c r="L51" s="99"/>
      <c r="M51" s="6"/>
      <c r="N51" s="27"/>
    </row>
    <row r="52" spans="1:14" ht="22.5" x14ac:dyDescent="0.2">
      <c r="A52" s="28"/>
      <c r="B52" s="5"/>
      <c r="C52" s="33"/>
      <c r="D52" s="3"/>
      <c r="E52" s="14"/>
      <c r="F52" s="14"/>
      <c r="G52" s="14"/>
      <c r="H52" s="14"/>
      <c r="I52" s="14"/>
      <c r="J52" s="99"/>
      <c r="K52" s="177"/>
      <c r="L52" s="99"/>
      <c r="M52" s="6"/>
      <c r="N52" s="27"/>
    </row>
    <row r="53" spans="1:14" ht="189" x14ac:dyDescent="0.2">
      <c r="A53" s="28">
        <v>10</v>
      </c>
      <c r="B53" s="5">
        <v>16.79</v>
      </c>
      <c r="C53" s="33" t="s">
        <v>77</v>
      </c>
      <c r="D53" s="3" t="s">
        <v>43</v>
      </c>
      <c r="E53" s="3"/>
      <c r="F53" s="3"/>
      <c r="G53" s="3"/>
      <c r="H53" s="3" t="s">
        <v>309</v>
      </c>
      <c r="I53" s="14">
        <f>SUM(I54:I55)</f>
        <v>0</v>
      </c>
      <c r="J53" s="99">
        <v>2803.65</v>
      </c>
      <c r="K53" s="177">
        <v>1985.8252950000001</v>
      </c>
      <c r="L53" s="99">
        <f>J53*I53</f>
        <v>0</v>
      </c>
      <c r="M53" s="6"/>
      <c r="N53" s="27"/>
    </row>
    <row r="54" spans="1:14" ht="22.5" x14ac:dyDescent="0.2">
      <c r="A54" s="28"/>
      <c r="B54" s="5"/>
      <c r="C54" s="33"/>
      <c r="D54" s="3"/>
      <c r="E54" s="3"/>
      <c r="F54" s="3"/>
      <c r="G54" s="3"/>
      <c r="H54" s="3"/>
      <c r="I54" s="14">
        <f>PRODUCT(E54:H54)</f>
        <v>0</v>
      </c>
      <c r="J54" s="99"/>
      <c r="K54" s="177"/>
      <c r="L54" s="99"/>
      <c r="M54" s="6"/>
      <c r="N54" s="27"/>
    </row>
    <row r="55" spans="1:14" ht="22.5" x14ac:dyDescent="0.2">
      <c r="A55" s="28"/>
      <c r="B55" s="5"/>
      <c r="C55" s="33"/>
      <c r="D55" s="3"/>
      <c r="E55" s="3"/>
      <c r="F55" s="3"/>
      <c r="G55" s="3"/>
      <c r="H55" s="3"/>
      <c r="I55" s="14"/>
      <c r="J55" s="99"/>
      <c r="K55" s="177"/>
      <c r="L55" s="99"/>
      <c r="M55" s="6"/>
      <c r="N55" s="27"/>
    </row>
    <row r="56" spans="1:14" ht="42" x14ac:dyDescent="0.2">
      <c r="A56" s="28">
        <v>11</v>
      </c>
      <c r="B56" s="5" t="s">
        <v>78</v>
      </c>
      <c r="C56" s="33" t="s">
        <v>79</v>
      </c>
      <c r="D56" s="3" t="s">
        <v>73</v>
      </c>
      <c r="E56" s="3"/>
      <c r="F56" s="3"/>
      <c r="G56" s="3"/>
      <c r="H56" s="3"/>
      <c r="I56" s="14"/>
      <c r="J56" s="99">
        <v>120</v>
      </c>
      <c r="K56" s="177">
        <v>151.19999999999999</v>
      </c>
      <c r="L56" s="99">
        <f>J56*I56</f>
        <v>0</v>
      </c>
      <c r="M56" s="6"/>
      <c r="N56" s="27"/>
    </row>
    <row r="57" spans="1:14" ht="42" x14ac:dyDescent="0.2">
      <c r="A57" s="28">
        <v>12</v>
      </c>
      <c r="B57" s="5">
        <v>5.9</v>
      </c>
      <c r="C57" s="33" t="s">
        <v>80</v>
      </c>
      <c r="D57" s="3"/>
      <c r="E57" s="3"/>
      <c r="F57" s="3"/>
      <c r="G57" s="3"/>
      <c r="H57" s="3"/>
      <c r="I57" s="14"/>
      <c r="J57" s="99"/>
      <c r="K57" s="177"/>
      <c r="L57" s="99">
        <f>J57*I57</f>
        <v>0</v>
      </c>
      <c r="M57" s="6"/>
      <c r="N57" s="27"/>
    </row>
    <row r="58" spans="1:14" ht="84" x14ac:dyDescent="0.2">
      <c r="A58" s="28"/>
      <c r="B58" s="5" t="s">
        <v>81</v>
      </c>
      <c r="C58" s="33" t="s">
        <v>310</v>
      </c>
      <c r="D58" s="3" t="s">
        <v>73</v>
      </c>
      <c r="E58" s="3"/>
      <c r="F58" s="3"/>
      <c r="G58" s="3"/>
      <c r="H58" s="3" t="s">
        <v>309</v>
      </c>
      <c r="I58" s="14">
        <f>SUM(I59:I67)</f>
        <v>391.5</v>
      </c>
      <c r="J58" s="99">
        <v>307.95</v>
      </c>
      <c r="K58" s="177">
        <v>684.32649000000004</v>
      </c>
      <c r="L58" s="99">
        <f>J58*I58</f>
        <v>120562.42499999999</v>
      </c>
      <c r="M58" s="6"/>
      <c r="N58" s="27"/>
    </row>
    <row r="59" spans="1:14" ht="22.5" x14ac:dyDescent="0.2">
      <c r="A59" s="28"/>
      <c r="B59" s="5"/>
      <c r="C59" s="3" t="str">
        <f>C108</f>
        <v xml:space="preserve">FOOTING </v>
      </c>
      <c r="D59" s="3"/>
      <c r="E59" s="3">
        <f t="shared" ref="E59:E67" si="8">E108</f>
        <v>21</v>
      </c>
      <c r="F59" s="3">
        <f t="shared" ref="F59:F67" si="9">F108+G108</f>
        <v>3</v>
      </c>
      <c r="G59" s="3">
        <v>2</v>
      </c>
      <c r="H59" s="3">
        <f t="shared" ref="H59:H67" si="10">H108</f>
        <v>0.4</v>
      </c>
      <c r="I59" s="14">
        <f t="shared" ref="I59:I67" si="11">PRODUCT(E59:H59)</f>
        <v>50.400000000000006</v>
      </c>
      <c r="J59" s="99"/>
      <c r="K59" s="177"/>
      <c r="L59" s="99"/>
      <c r="M59" s="6"/>
      <c r="N59" s="27"/>
    </row>
    <row r="60" spans="1:14" ht="22.5" x14ac:dyDescent="0.2">
      <c r="A60" s="28"/>
      <c r="B60" s="5"/>
      <c r="C60" s="3"/>
      <c r="D60" s="3"/>
      <c r="E60" s="3">
        <f t="shared" si="8"/>
        <v>15</v>
      </c>
      <c r="F60" s="3">
        <f t="shared" si="9"/>
        <v>3</v>
      </c>
      <c r="G60" s="3">
        <v>2</v>
      </c>
      <c r="H60" s="3">
        <f t="shared" si="10"/>
        <v>0.4</v>
      </c>
      <c r="I60" s="14">
        <f t="shared" si="11"/>
        <v>36</v>
      </c>
      <c r="J60" s="99"/>
      <c r="K60" s="177"/>
      <c r="L60" s="99"/>
      <c r="M60" s="6"/>
      <c r="N60" s="27"/>
    </row>
    <row r="61" spans="1:14" ht="22.5" x14ac:dyDescent="0.2">
      <c r="A61" s="28"/>
      <c r="B61" s="5"/>
      <c r="C61" s="3"/>
      <c r="D61" s="3"/>
      <c r="E61" s="3">
        <f t="shared" si="8"/>
        <v>9</v>
      </c>
      <c r="F61" s="3">
        <f t="shared" si="9"/>
        <v>3</v>
      </c>
      <c r="G61" s="3">
        <v>2</v>
      </c>
      <c r="H61" s="3">
        <f t="shared" si="10"/>
        <v>0.4</v>
      </c>
      <c r="I61" s="14">
        <f t="shared" si="11"/>
        <v>21.6</v>
      </c>
      <c r="J61" s="99"/>
      <c r="K61" s="177"/>
      <c r="L61" s="99"/>
      <c r="M61" s="6"/>
      <c r="N61" s="27"/>
    </row>
    <row r="62" spans="1:14" ht="22.5" x14ac:dyDescent="0.2">
      <c r="A62" s="28"/>
      <c r="B62" s="5"/>
      <c r="C62" s="3"/>
      <c r="D62" s="3"/>
      <c r="E62" s="3">
        <f t="shared" si="8"/>
        <v>21</v>
      </c>
      <c r="F62" s="3">
        <f t="shared" si="9"/>
        <v>0.89999999999999991</v>
      </c>
      <c r="G62" s="3">
        <v>2</v>
      </c>
      <c r="H62" s="3">
        <f t="shared" si="10"/>
        <v>2.5</v>
      </c>
      <c r="I62" s="14">
        <f t="shared" si="11"/>
        <v>94.5</v>
      </c>
      <c r="J62" s="99"/>
      <c r="K62" s="177"/>
      <c r="L62" s="99"/>
      <c r="M62" s="6"/>
      <c r="N62" s="27"/>
    </row>
    <row r="63" spans="1:14" ht="22.5" x14ac:dyDescent="0.2">
      <c r="A63" s="28"/>
      <c r="B63" s="5"/>
      <c r="C63" s="3" t="s">
        <v>398</v>
      </c>
      <c r="D63" s="3"/>
      <c r="E63" s="3">
        <f t="shared" si="8"/>
        <v>15</v>
      </c>
      <c r="F63" s="3">
        <f t="shared" si="9"/>
        <v>0.89999999999999991</v>
      </c>
      <c r="G63" s="3">
        <v>2</v>
      </c>
      <c r="H63" s="3">
        <f t="shared" si="10"/>
        <v>2.5</v>
      </c>
      <c r="I63" s="14">
        <f t="shared" si="11"/>
        <v>67.499999999999986</v>
      </c>
      <c r="J63" s="99"/>
      <c r="K63" s="177"/>
      <c r="L63" s="99"/>
      <c r="M63" s="6"/>
      <c r="N63" s="27"/>
    </row>
    <row r="64" spans="1:14" ht="22.5" x14ac:dyDescent="0.2">
      <c r="A64" s="28"/>
      <c r="B64" s="5"/>
      <c r="C64" s="3"/>
      <c r="D64" s="3"/>
      <c r="E64" s="3">
        <f t="shared" si="8"/>
        <v>9</v>
      </c>
      <c r="F64" s="3">
        <f t="shared" si="9"/>
        <v>0.89999999999999991</v>
      </c>
      <c r="G64" s="3">
        <v>2</v>
      </c>
      <c r="H64" s="3">
        <f t="shared" si="10"/>
        <v>2.5</v>
      </c>
      <c r="I64" s="14">
        <f t="shared" si="11"/>
        <v>40.5</v>
      </c>
      <c r="J64" s="99"/>
      <c r="K64" s="177"/>
      <c r="L64" s="99"/>
      <c r="M64" s="6"/>
      <c r="N64" s="27"/>
    </row>
    <row r="65" spans="1:14" ht="22.5" x14ac:dyDescent="0.2">
      <c r="A65" s="28"/>
      <c r="B65" s="5"/>
      <c r="C65" s="3"/>
      <c r="D65" s="3"/>
      <c r="E65" s="3">
        <f t="shared" si="8"/>
        <v>21</v>
      </c>
      <c r="F65" s="3">
        <f t="shared" si="9"/>
        <v>0.89999999999999991</v>
      </c>
      <c r="G65" s="3">
        <v>2</v>
      </c>
      <c r="H65" s="3">
        <f t="shared" si="10"/>
        <v>1</v>
      </c>
      <c r="I65" s="14">
        <f t="shared" si="11"/>
        <v>37.799999999999997</v>
      </c>
      <c r="J65" s="99"/>
      <c r="K65" s="177"/>
      <c r="L65" s="99"/>
      <c r="M65" s="6"/>
      <c r="N65" s="27"/>
    </row>
    <row r="66" spans="1:14" ht="22.5" x14ac:dyDescent="0.2">
      <c r="A66" s="28"/>
      <c r="B66" s="5"/>
      <c r="C66" s="3"/>
      <c r="D66" s="3"/>
      <c r="E66" s="3">
        <f t="shared" si="8"/>
        <v>15</v>
      </c>
      <c r="F66" s="3">
        <f t="shared" si="9"/>
        <v>0.89999999999999991</v>
      </c>
      <c r="G66" s="3">
        <v>2</v>
      </c>
      <c r="H66" s="3">
        <f t="shared" si="10"/>
        <v>1</v>
      </c>
      <c r="I66" s="14">
        <f t="shared" si="11"/>
        <v>26.999999999999996</v>
      </c>
      <c r="J66" s="99"/>
      <c r="K66" s="177"/>
      <c r="L66" s="99"/>
      <c r="M66" s="6"/>
      <c r="N66" s="27"/>
    </row>
    <row r="67" spans="1:14" ht="22.5" x14ac:dyDescent="0.2">
      <c r="A67" s="28"/>
      <c r="B67" s="5"/>
      <c r="C67" s="3"/>
      <c r="D67" s="3"/>
      <c r="E67" s="3">
        <f t="shared" si="8"/>
        <v>9</v>
      </c>
      <c r="F67" s="3">
        <f t="shared" si="9"/>
        <v>0.89999999999999991</v>
      </c>
      <c r="G67" s="3">
        <v>2</v>
      </c>
      <c r="H67" s="3">
        <f t="shared" si="10"/>
        <v>1</v>
      </c>
      <c r="I67" s="14">
        <f t="shared" si="11"/>
        <v>16.2</v>
      </c>
      <c r="J67" s="99"/>
      <c r="K67" s="177"/>
      <c r="L67" s="99"/>
      <c r="M67" s="6"/>
      <c r="N67" s="27"/>
    </row>
    <row r="68" spans="1:14" ht="22.5" x14ac:dyDescent="0.2">
      <c r="A68" s="28"/>
      <c r="B68" s="5"/>
      <c r="C68" s="3"/>
      <c r="D68" s="3"/>
      <c r="E68" s="3"/>
      <c r="F68" s="3"/>
      <c r="G68" s="3"/>
      <c r="H68" s="3"/>
      <c r="I68" s="14"/>
      <c r="J68" s="99"/>
      <c r="K68" s="177"/>
      <c r="L68" s="99"/>
      <c r="M68" s="6"/>
      <c r="N68" s="27"/>
    </row>
    <row r="69" spans="1:14" ht="22.5" x14ac:dyDescent="0.2">
      <c r="A69" s="28"/>
      <c r="B69" s="5"/>
      <c r="C69" s="33"/>
      <c r="D69" s="3"/>
      <c r="E69" s="3"/>
      <c r="F69" s="3"/>
      <c r="G69" s="3"/>
      <c r="H69" s="3"/>
      <c r="I69" s="14"/>
      <c r="J69" s="99"/>
      <c r="K69" s="177"/>
      <c r="L69" s="99"/>
      <c r="M69" s="6"/>
      <c r="N69" s="27"/>
    </row>
    <row r="70" spans="1:14" ht="147" x14ac:dyDescent="0.2">
      <c r="A70" s="28">
        <v>13</v>
      </c>
      <c r="B70" s="5" t="s">
        <v>83</v>
      </c>
      <c r="C70" s="33" t="s">
        <v>84</v>
      </c>
      <c r="D70" s="3" t="s">
        <v>73</v>
      </c>
      <c r="E70" s="3"/>
      <c r="F70" s="3"/>
      <c r="G70" s="3"/>
      <c r="H70" s="3" t="s">
        <v>309</v>
      </c>
      <c r="I70" s="14">
        <f>SUM(I71:I77)</f>
        <v>236.64000000000001</v>
      </c>
      <c r="J70" s="99">
        <v>669.55</v>
      </c>
      <c r="K70" s="177">
        <v>806.40602000000001</v>
      </c>
      <c r="L70" s="99">
        <f>J70*I70</f>
        <v>158442.31200000001</v>
      </c>
      <c r="M70" s="6"/>
      <c r="N70" s="27"/>
    </row>
    <row r="71" spans="1:14" ht="22.5" x14ac:dyDescent="0.2">
      <c r="A71" s="28"/>
      <c r="B71" s="5"/>
      <c r="C71" s="3"/>
      <c r="D71" s="3"/>
      <c r="E71" s="14">
        <f t="shared" ref="E71:F76" si="12">E118</f>
        <v>3</v>
      </c>
      <c r="F71" s="14">
        <f t="shared" si="12"/>
        <v>22.86</v>
      </c>
      <c r="G71" s="14">
        <v>2</v>
      </c>
      <c r="H71" s="14">
        <f t="shared" ref="H71:H76" si="13">H118</f>
        <v>0.5</v>
      </c>
      <c r="I71" s="14">
        <f t="shared" ref="I71:I76" si="14">PRODUCT(E71:H71)</f>
        <v>68.58</v>
      </c>
      <c r="J71" s="99"/>
      <c r="K71" s="177"/>
      <c r="L71" s="99"/>
      <c r="M71" s="6"/>
      <c r="N71" s="27"/>
    </row>
    <row r="72" spans="1:14" ht="22.5" x14ac:dyDescent="0.2">
      <c r="A72" s="28"/>
      <c r="B72" s="5"/>
      <c r="C72" s="3"/>
      <c r="D72" s="3"/>
      <c r="E72" s="14">
        <f t="shared" si="12"/>
        <v>7</v>
      </c>
      <c r="F72" s="14">
        <f t="shared" si="12"/>
        <v>6.6</v>
      </c>
      <c r="G72" s="14">
        <v>2</v>
      </c>
      <c r="H72" s="14">
        <f t="shared" si="13"/>
        <v>0.5</v>
      </c>
      <c r="I72" s="14">
        <f t="shared" si="14"/>
        <v>46.199999999999996</v>
      </c>
      <c r="J72" s="99"/>
      <c r="K72" s="177"/>
      <c r="L72" s="99"/>
      <c r="M72" s="6"/>
      <c r="N72" s="27"/>
    </row>
    <row r="73" spans="1:14" ht="22.5" x14ac:dyDescent="0.2">
      <c r="A73" s="28"/>
      <c r="B73" s="5"/>
      <c r="C73" s="3"/>
      <c r="D73" s="3"/>
      <c r="E73" s="14">
        <f t="shared" si="12"/>
        <v>3</v>
      </c>
      <c r="F73" s="14">
        <f t="shared" si="12"/>
        <v>15.24</v>
      </c>
      <c r="G73" s="14">
        <v>2</v>
      </c>
      <c r="H73" s="14">
        <f t="shared" si="13"/>
        <v>0.5</v>
      </c>
      <c r="I73" s="14">
        <f t="shared" si="14"/>
        <v>45.72</v>
      </c>
      <c r="J73" s="99"/>
      <c r="K73" s="177"/>
      <c r="L73" s="99"/>
      <c r="M73" s="6"/>
      <c r="N73" s="27"/>
    </row>
    <row r="74" spans="1:14" ht="22.5" x14ac:dyDescent="0.2">
      <c r="A74" s="28"/>
      <c r="B74" s="5"/>
      <c r="C74" s="3"/>
      <c r="D74" s="3"/>
      <c r="E74" s="14">
        <f t="shared" si="12"/>
        <v>5</v>
      </c>
      <c r="F74" s="14">
        <f t="shared" si="12"/>
        <v>6.66</v>
      </c>
      <c r="G74" s="14">
        <v>2</v>
      </c>
      <c r="H74" s="14">
        <f t="shared" si="13"/>
        <v>0.5</v>
      </c>
      <c r="I74" s="14">
        <f t="shared" si="14"/>
        <v>33.299999999999997</v>
      </c>
      <c r="J74" s="99"/>
      <c r="K74" s="177"/>
      <c r="L74" s="99"/>
      <c r="M74" s="6"/>
      <c r="N74" s="27"/>
    </row>
    <row r="75" spans="1:14" ht="22.5" x14ac:dyDescent="0.2">
      <c r="A75" s="28"/>
      <c r="B75" s="5"/>
      <c r="C75" s="3"/>
      <c r="D75" s="3"/>
      <c r="E75" s="14">
        <f t="shared" si="12"/>
        <v>3</v>
      </c>
      <c r="F75" s="14">
        <f t="shared" si="12"/>
        <v>7.62</v>
      </c>
      <c r="G75" s="14">
        <v>2</v>
      </c>
      <c r="H75" s="14">
        <f t="shared" si="13"/>
        <v>0.5</v>
      </c>
      <c r="I75" s="14">
        <f t="shared" si="14"/>
        <v>22.86</v>
      </c>
      <c r="J75" s="99"/>
      <c r="K75" s="177"/>
      <c r="L75" s="99"/>
      <c r="M75" s="6"/>
      <c r="N75" s="27"/>
    </row>
    <row r="76" spans="1:14" ht="22.5" x14ac:dyDescent="0.2">
      <c r="A76" s="28"/>
      <c r="B76" s="5"/>
      <c r="C76" s="3"/>
      <c r="D76" s="3"/>
      <c r="E76" s="14">
        <f t="shared" si="12"/>
        <v>3</v>
      </c>
      <c r="F76" s="14">
        <f t="shared" si="12"/>
        <v>6.66</v>
      </c>
      <c r="G76" s="14">
        <v>2</v>
      </c>
      <c r="H76" s="14">
        <f t="shared" si="13"/>
        <v>0.5</v>
      </c>
      <c r="I76" s="14">
        <f t="shared" si="14"/>
        <v>19.98</v>
      </c>
      <c r="J76" s="99"/>
      <c r="K76" s="177"/>
      <c r="L76" s="99"/>
      <c r="M76" s="6"/>
      <c r="N76" s="27"/>
    </row>
    <row r="77" spans="1:14" ht="22.5" x14ac:dyDescent="0.2">
      <c r="A77" s="28"/>
      <c r="B77" s="5"/>
      <c r="C77" s="3"/>
      <c r="D77" s="3"/>
      <c r="E77" s="14"/>
      <c r="F77" s="3"/>
      <c r="G77" s="3"/>
      <c r="H77" s="3"/>
      <c r="I77" s="14"/>
      <c r="J77" s="99"/>
      <c r="K77" s="177"/>
      <c r="L77" s="99"/>
      <c r="M77" s="6"/>
      <c r="N77" s="27"/>
    </row>
    <row r="78" spans="1:14" ht="168" x14ac:dyDescent="0.2">
      <c r="A78" s="28">
        <v>14</v>
      </c>
      <c r="B78" s="5" t="s">
        <v>85</v>
      </c>
      <c r="C78" s="33" t="s">
        <v>340</v>
      </c>
      <c r="D78" s="3" t="s">
        <v>73</v>
      </c>
      <c r="E78" s="3"/>
      <c r="F78" s="3"/>
      <c r="G78" s="3"/>
      <c r="H78" s="3"/>
      <c r="I78" s="14">
        <f>SUM(I79:I85)</f>
        <v>331.47120000000001</v>
      </c>
      <c r="J78" s="99">
        <v>766.55</v>
      </c>
      <c r="K78" s="177">
        <v>806.41060000000004</v>
      </c>
      <c r="L78" s="99">
        <f>J78*I78</f>
        <v>254089.24836</v>
      </c>
      <c r="M78" s="6"/>
      <c r="N78" s="27"/>
    </row>
    <row r="79" spans="1:14" ht="22.5" x14ac:dyDescent="0.2">
      <c r="A79" s="28"/>
      <c r="B79" s="5"/>
      <c r="C79" s="33"/>
      <c r="D79" s="3"/>
      <c r="E79" s="3"/>
      <c r="F79" s="14">
        <f t="shared" ref="F79:G82" si="15">F148</f>
        <v>22.86</v>
      </c>
      <c r="G79" s="14">
        <f t="shared" si="15"/>
        <v>6.66</v>
      </c>
      <c r="H79" s="3"/>
      <c r="I79" s="14">
        <f t="shared" ref="I79:I85" si="16">PRODUCT(E79:H79)</f>
        <v>152.24760000000001</v>
      </c>
      <c r="J79" s="99"/>
      <c r="K79" s="177"/>
      <c r="L79" s="99"/>
      <c r="M79" s="6"/>
      <c r="N79" s="27"/>
    </row>
    <row r="80" spans="1:14" ht="22.5" x14ac:dyDescent="0.2">
      <c r="A80" s="28"/>
      <c r="B80" s="5"/>
      <c r="C80" s="33"/>
      <c r="D80" s="3"/>
      <c r="E80" s="3"/>
      <c r="F80" s="14">
        <f t="shared" si="15"/>
        <v>15.24</v>
      </c>
      <c r="G80" s="14">
        <f t="shared" si="15"/>
        <v>6.66</v>
      </c>
      <c r="H80" s="3"/>
      <c r="I80" s="14">
        <f t="shared" si="16"/>
        <v>101.4984</v>
      </c>
      <c r="J80" s="99"/>
      <c r="K80" s="177"/>
      <c r="L80" s="99"/>
      <c r="M80" s="6"/>
      <c r="N80" s="27"/>
    </row>
    <row r="81" spans="1:14" ht="22.5" x14ac:dyDescent="0.2">
      <c r="A81" s="28"/>
      <c r="B81" s="5"/>
      <c r="C81" s="33"/>
      <c r="D81" s="3"/>
      <c r="E81" s="3"/>
      <c r="F81" s="14">
        <f t="shared" si="15"/>
        <v>7.62</v>
      </c>
      <c r="G81" s="14">
        <f t="shared" si="15"/>
        <v>6.66</v>
      </c>
      <c r="H81" s="3"/>
      <c r="I81" s="14">
        <f t="shared" si="16"/>
        <v>50.749200000000002</v>
      </c>
      <c r="J81" s="99"/>
      <c r="K81" s="177"/>
      <c r="L81" s="99"/>
      <c r="M81" s="6"/>
      <c r="N81" s="27"/>
    </row>
    <row r="82" spans="1:14" ht="22.5" x14ac:dyDescent="0.2">
      <c r="A82" s="28"/>
      <c r="B82" s="5"/>
      <c r="C82" s="33"/>
      <c r="D82" s="3"/>
      <c r="E82" s="14">
        <f>E151</f>
        <v>-12</v>
      </c>
      <c r="F82" s="14">
        <f t="shared" si="15"/>
        <v>0.8</v>
      </c>
      <c r="G82" s="14">
        <f t="shared" si="15"/>
        <v>1</v>
      </c>
      <c r="H82" s="3"/>
      <c r="I82" s="14">
        <f t="shared" si="16"/>
        <v>-9.6000000000000014</v>
      </c>
      <c r="J82" s="99"/>
      <c r="K82" s="177"/>
      <c r="L82" s="99"/>
      <c r="M82" s="6"/>
      <c r="N82" s="27"/>
    </row>
    <row r="83" spans="1:14" ht="22.5" x14ac:dyDescent="0.2">
      <c r="A83" s="28"/>
      <c r="B83" s="5"/>
      <c r="C83" s="33"/>
      <c r="D83" s="3"/>
      <c r="E83" s="3"/>
      <c r="F83" s="14">
        <f t="shared" ref="F83:G85" si="17">F160</f>
        <v>22.86</v>
      </c>
      <c r="G83" s="14">
        <f t="shared" si="17"/>
        <v>0.8</v>
      </c>
      <c r="H83" s="3"/>
      <c r="I83" s="14">
        <f t="shared" si="16"/>
        <v>18.288</v>
      </c>
      <c r="J83" s="99"/>
      <c r="K83" s="177"/>
      <c r="L83" s="99"/>
      <c r="M83" s="6"/>
      <c r="N83" s="27"/>
    </row>
    <row r="84" spans="1:14" ht="22.5" x14ac:dyDescent="0.2">
      <c r="A84" s="28"/>
      <c r="B84" s="5"/>
      <c r="C84" s="33"/>
      <c r="D84" s="3"/>
      <c r="E84" s="3"/>
      <c r="F84" s="14">
        <f t="shared" si="17"/>
        <v>15.24</v>
      </c>
      <c r="G84" s="14">
        <f t="shared" si="17"/>
        <v>0.8</v>
      </c>
      <c r="H84" s="3"/>
      <c r="I84" s="14">
        <f t="shared" si="16"/>
        <v>12.192</v>
      </c>
      <c r="J84" s="99"/>
      <c r="K84" s="177"/>
      <c r="L84" s="99"/>
      <c r="M84" s="6"/>
      <c r="N84" s="27"/>
    </row>
    <row r="85" spans="1:14" ht="22.5" x14ac:dyDescent="0.2">
      <c r="A85" s="28"/>
      <c r="B85" s="5"/>
      <c r="C85" s="33"/>
      <c r="D85" s="3"/>
      <c r="E85" s="3"/>
      <c r="F85" s="14">
        <f t="shared" si="17"/>
        <v>7.62</v>
      </c>
      <c r="G85" s="14">
        <f t="shared" si="17"/>
        <v>0.8</v>
      </c>
      <c r="H85" s="3"/>
      <c r="I85" s="14">
        <f t="shared" si="16"/>
        <v>6.0960000000000001</v>
      </c>
      <c r="J85" s="99"/>
      <c r="K85" s="177"/>
      <c r="L85" s="99"/>
      <c r="M85" s="6"/>
      <c r="N85" s="27"/>
    </row>
    <row r="86" spans="1:14" ht="126" x14ac:dyDescent="0.2">
      <c r="A86" s="28">
        <v>15</v>
      </c>
      <c r="B86" s="5" t="s">
        <v>87</v>
      </c>
      <c r="C86" s="33" t="s">
        <v>88</v>
      </c>
      <c r="D86" s="3" t="s">
        <v>73</v>
      </c>
      <c r="E86" s="3"/>
      <c r="F86" s="3"/>
      <c r="G86" s="3"/>
      <c r="H86" s="3" t="s">
        <v>309</v>
      </c>
      <c r="I86" s="14">
        <f>SUM(I87:I95)</f>
        <v>236.64000000000001</v>
      </c>
      <c r="J86" s="99">
        <v>608.35</v>
      </c>
      <c r="K86" s="177">
        <v>1007.975115</v>
      </c>
      <c r="L86" s="99">
        <f>J86*I86</f>
        <v>143959.94400000002</v>
      </c>
      <c r="M86" s="6"/>
      <c r="N86" s="27"/>
    </row>
    <row r="87" spans="1:14" ht="22.5" x14ac:dyDescent="0.2">
      <c r="A87" s="28"/>
      <c r="B87" s="5"/>
      <c r="C87" s="3" t="str">
        <f>C135</f>
        <v xml:space="preserve">CONNECTING BEAM </v>
      </c>
      <c r="D87" s="3"/>
      <c r="E87" s="14">
        <f t="shared" ref="E87:F92" si="18">E135</f>
        <v>3</v>
      </c>
      <c r="F87" s="14">
        <f t="shared" si="18"/>
        <v>22.86</v>
      </c>
      <c r="G87" s="3">
        <v>2</v>
      </c>
      <c r="H87" s="14">
        <f t="shared" ref="H87:H92" si="19">H135</f>
        <v>0.4</v>
      </c>
      <c r="I87" s="14">
        <v>68.58</v>
      </c>
      <c r="J87" s="99"/>
      <c r="K87" s="177"/>
      <c r="L87" s="99"/>
      <c r="M87" s="6"/>
      <c r="N87" s="27"/>
    </row>
    <row r="88" spans="1:14" ht="22.5" x14ac:dyDescent="0.2">
      <c r="A88" s="28"/>
      <c r="B88" s="5"/>
      <c r="C88" s="3"/>
      <c r="D88" s="3"/>
      <c r="E88" s="14">
        <f t="shared" si="18"/>
        <v>7</v>
      </c>
      <c r="F88" s="14">
        <f t="shared" si="18"/>
        <v>6.66</v>
      </c>
      <c r="G88" s="3">
        <v>2</v>
      </c>
      <c r="H88" s="14">
        <f t="shared" si="19"/>
        <v>0.4</v>
      </c>
      <c r="I88" s="14">
        <v>46.2</v>
      </c>
      <c r="J88" s="99"/>
      <c r="K88" s="177"/>
      <c r="L88" s="99"/>
      <c r="M88" s="6"/>
      <c r="N88" s="27"/>
    </row>
    <row r="89" spans="1:14" ht="22.5" x14ac:dyDescent="0.2">
      <c r="A89" s="28"/>
      <c r="B89" s="5"/>
      <c r="C89" s="3"/>
      <c r="D89" s="3"/>
      <c r="E89" s="14">
        <f t="shared" si="18"/>
        <v>3</v>
      </c>
      <c r="F89" s="14">
        <f t="shared" si="18"/>
        <v>15.24</v>
      </c>
      <c r="G89" s="3">
        <v>2</v>
      </c>
      <c r="H89" s="14">
        <f t="shared" si="19"/>
        <v>0.4</v>
      </c>
      <c r="I89" s="14">
        <v>45.72</v>
      </c>
      <c r="J89" s="99"/>
      <c r="K89" s="177"/>
      <c r="L89" s="99"/>
      <c r="M89" s="6"/>
      <c r="N89" s="27"/>
    </row>
    <row r="90" spans="1:14" ht="22.5" x14ac:dyDescent="0.2">
      <c r="A90" s="28"/>
      <c r="B90" s="5"/>
      <c r="C90" s="3"/>
      <c r="D90" s="3"/>
      <c r="E90" s="14">
        <f t="shared" si="18"/>
        <v>5</v>
      </c>
      <c r="F90" s="14">
        <f t="shared" si="18"/>
        <v>6.66</v>
      </c>
      <c r="G90" s="3">
        <v>2</v>
      </c>
      <c r="H90" s="14">
        <f t="shared" si="19"/>
        <v>0.4</v>
      </c>
      <c r="I90" s="14">
        <v>33.299999999999997</v>
      </c>
      <c r="J90" s="99"/>
      <c r="K90" s="177"/>
      <c r="L90" s="99"/>
      <c r="M90" s="6"/>
      <c r="N90" s="27"/>
    </row>
    <row r="91" spans="1:14" ht="22.5" x14ac:dyDescent="0.2">
      <c r="A91" s="28"/>
      <c r="B91" s="5"/>
      <c r="C91" s="3"/>
      <c r="D91" s="3"/>
      <c r="E91" s="14">
        <f t="shared" si="18"/>
        <v>3</v>
      </c>
      <c r="F91" s="14">
        <f t="shared" si="18"/>
        <v>7.62</v>
      </c>
      <c r="G91" s="3">
        <v>2</v>
      </c>
      <c r="H91" s="14">
        <f t="shared" si="19"/>
        <v>0.4</v>
      </c>
      <c r="I91" s="14">
        <v>22.86</v>
      </c>
      <c r="J91" s="99"/>
      <c r="K91" s="177"/>
      <c r="L91" s="99"/>
      <c r="M91" s="6"/>
      <c r="N91" s="27"/>
    </row>
    <row r="92" spans="1:14" ht="22.5" x14ac:dyDescent="0.2">
      <c r="A92" s="28"/>
      <c r="B92" s="5"/>
      <c r="C92" s="3"/>
      <c r="D92" s="3"/>
      <c r="E92" s="14">
        <f t="shared" si="18"/>
        <v>3</v>
      </c>
      <c r="F92" s="14">
        <f t="shared" si="18"/>
        <v>6.66</v>
      </c>
      <c r="G92" s="3">
        <v>2</v>
      </c>
      <c r="H92" s="14">
        <f t="shared" si="19"/>
        <v>1.4</v>
      </c>
      <c r="I92" s="14">
        <v>19.98</v>
      </c>
      <c r="J92" s="99"/>
      <c r="K92" s="177"/>
      <c r="L92" s="99"/>
      <c r="M92" s="6"/>
      <c r="N92" s="27"/>
    </row>
    <row r="93" spans="1:14" ht="22.5" x14ac:dyDescent="0.2">
      <c r="A93" s="28"/>
      <c r="B93" s="5"/>
      <c r="C93" s="3"/>
      <c r="D93" s="3"/>
      <c r="E93" s="3"/>
      <c r="F93" s="3"/>
      <c r="G93" s="3"/>
      <c r="H93" s="3"/>
      <c r="I93" s="14"/>
      <c r="J93" s="99"/>
      <c r="K93" s="177"/>
      <c r="L93" s="99"/>
      <c r="M93" s="6"/>
      <c r="N93" s="27"/>
    </row>
    <row r="94" spans="1:14" ht="22.5" x14ac:dyDescent="0.2">
      <c r="A94" s="28"/>
      <c r="B94" s="5"/>
      <c r="C94" s="3"/>
      <c r="D94" s="3"/>
      <c r="E94" s="3"/>
      <c r="F94" s="3"/>
      <c r="G94" s="3"/>
      <c r="H94" s="3"/>
      <c r="I94" s="14"/>
      <c r="J94" s="99"/>
      <c r="K94" s="177"/>
      <c r="L94" s="99"/>
      <c r="M94" s="6"/>
      <c r="N94" s="27"/>
    </row>
    <row r="95" spans="1:14" ht="22.5" x14ac:dyDescent="0.2">
      <c r="A95" s="28"/>
      <c r="B95" s="5"/>
      <c r="C95" s="3"/>
      <c r="D95" s="3"/>
      <c r="E95" s="6"/>
      <c r="F95" s="6"/>
      <c r="G95" s="6"/>
      <c r="H95" s="6"/>
      <c r="I95" s="67"/>
      <c r="J95" s="99"/>
      <c r="K95" s="177"/>
      <c r="L95" s="99"/>
      <c r="M95" s="6"/>
      <c r="N95" s="27"/>
    </row>
    <row r="96" spans="1:14" ht="126" x14ac:dyDescent="0.2">
      <c r="A96" s="28">
        <v>16</v>
      </c>
      <c r="B96" s="5" t="s">
        <v>89</v>
      </c>
      <c r="C96" s="33" t="s">
        <v>90</v>
      </c>
      <c r="D96" s="3" t="s">
        <v>73</v>
      </c>
      <c r="E96" s="3"/>
      <c r="F96" s="3"/>
      <c r="G96" s="3"/>
      <c r="H96" s="3" t="s">
        <v>309</v>
      </c>
      <c r="I96" s="14">
        <f>SUM(I97:I103)</f>
        <v>531.3599999999999</v>
      </c>
      <c r="J96" s="99">
        <v>804.25</v>
      </c>
      <c r="K96" s="177">
        <v>907.19399999999996</v>
      </c>
      <c r="L96" s="99">
        <f>J96*I96</f>
        <v>427346.27999999991</v>
      </c>
      <c r="M96" s="6"/>
      <c r="N96" s="27"/>
    </row>
    <row r="97" spans="1:14" ht="22.5" x14ac:dyDescent="0.2">
      <c r="A97" s="28"/>
      <c r="B97" s="5"/>
      <c r="C97" s="33"/>
      <c r="D97" s="3"/>
      <c r="E97" s="14">
        <f>E128</f>
        <v>21</v>
      </c>
      <c r="F97" s="14">
        <f>F128+G128</f>
        <v>0.89999999999999991</v>
      </c>
      <c r="G97" s="3">
        <v>2</v>
      </c>
      <c r="H97" s="14">
        <f>H128</f>
        <v>2</v>
      </c>
      <c r="I97" s="14">
        <f t="shared" ref="I97:I103" si="20">PRODUCT(E97:H97)</f>
        <v>75.599999999999994</v>
      </c>
      <c r="J97" s="99"/>
      <c r="K97" s="177"/>
      <c r="L97" s="99"/>
      <c r="M97" s="6"/>
      <c r="N97" s="27"/>
    </row>
    <row r="98" spans="1:14" ht="22.5" x14ac:dyDescent="0.2">
      <c r="A98" s="28"/>
      <c r="B98" s="5"/>
      <c r="C98" s="33"/>
      <c r="D98" s="3"/>
      <c r="E98" s="14">
        <f>E129</f>
        <v>15</v>
      </c>
      <c r="F98" s="14">
        <f>F129+G129</f>
        <v>0.89999999999999991</v>
      </c>
      <c r="G98" s="3">
        <v>2</v>
      </c>
      <c r="H98" s="14">
        <f>H129</f>
        <v>2</v>
      </c>
      <c r="I98" s="14">
        <f t="shared" si="20"/>
        <v>53.999999999999993</v>
      </c>
      <c r="J98" s="99"/>
      <c r="K98" s="177"/>
      <c r="L98" s="99"/>
      <c r="M98" s="6"/>
      <c r="N98" s="27"/>
    </row>
    <row r="99" spans="1:14" ht="22.5" x14ac:dyDescent="0.2">
      <c r="A99" s="28"/>
      <c r="B99" s="5"/>
      <c r="C99" s="33"/>
      <c r="D99" s="3"/>
      <c r="E99" s="14">
        <f>E130</f>
        <v>9</v>
      </c>
      <c r="F99" s="14">
        <f>F130+G130</f>
        <v>0.89999999999999991</v>
      </c>
      <c r="G99" s="3">
        <v>2</v>
      </c>
      <c r="H99" s="14">
        <f>H130</f>
        <v>2</v>
      </c>
      <c r="I99" s="14">
        <f t="shared" si="20"/>
        <v>32.4</v>
      </c>
      <c r="J99" s="99"/>
      <c r="K99" s="177"/>
      <c r="L99" s="99"/>
      <c r="M99" s="6"/>
      <c r="N99" s="27"/>
    </row>
    <row r="100" spans="1:14" ht="22.5" x14ac:dyDescent="0.2">
      <c r="A100" s="28"/>
      <c r="B100" s="5"/>
      <c r="C100" s="33"/>
      <c r="D100" s="3"/>
      <c r="E100" s="14">
        <f>E164</f>
        <v>189</v>
      </c>
      <c r="F100" s="14">
        <f>F164+G164</f>
        <v>0.6</v>
      </c>
      <c r="G100" s="3">
        <v>2</v>
      </c>
      <c r="H100" s="14">
        <f>H164</f>
        <v>1.2</v>
      </c>
      <c r="I100" s="14">
        <f t="shared" si="20"/>
        <v>272.15999999999997</v>
      </c>
      <c r="J100" s="99"/>
      <c r="K100" s="177"/>
      <c r="L100" s="99"/>
      <c r="M100" s="6"/>
      <c r="N100" s="27"/>
    </row>
    <row r="101" spans="1:14" ht="22.5" x14ac:dyDescent="0.2">
      <c r="A101" s="28"/>
      <c r="B101" s="5"/>
      <c r="C101" s="33"/>
      <c r="D101" s="3"/>
      <c r="E101" s="14">
        <f>E97</f>
        <v>21</v>
      </c>
      <c r="F101" s="14">
        <v>0.9</v>
      </c>
      <c r="G101" s="3">
        <v>2</v>
      </c>
      <c r="H101" s="14">
        <v>1.2</v>
      </c>
      <c r="I101" s="14">
        <f t="shared" si="20"/>
        <v>45.360000000000007</v>
      </c>
      <c r="J101" s="99"/>
      <c r="K101" s="177"/>
      <c r="L101" s="99"/>
      <c r="M101" s="6"/>
      <c r="N101" s="27"/>
    </row>
    <row r="102" spans="1:14" ht="22.5" x14ac:dyDescent="0.2">
      <c r="A102" s="28"/>
      <c r="B102" s="5"/>
      <c r="C102" s="33"/>
      <c r="D102" s="3"/>
      <c r="E102" s="14">
        <f>E98</f>
        <v>15</v>
      </c>
      <c r="F102" s="14">
        <v>0.9</v>
      </c>
      <c r="G102" s="3">
        <v>2</v>
      </c>
      <c r="H102" s="14">
        <v>1.2</v>
      </c>
      <c r="I102" s="14">
        <f t="shared" si="20"/>
        <v>32.4</v>
      </c>
      <c r="J102" s="99"/>
      <c r="K102" s="177"/>
      <c r="L102" s="99"/>
      <c r="M102" s="6"/>
      <c r="N102" s="27"/>
    </row>
    <row r="103" spans="1:14" ht="22.5" x14ac:dyDescent="0.2">
      <c r="A103" s="28"/>
      <c r="B103" s="5"/>
      <c r="C103" s="33"/>
      <c r="D103" s="3"/>
      <c r="E103" s="14">
        <f>E99</f>
        <v>9</v>
      </c>
      <c r="F103" s="14">
        <v>0.9</v>
      </c>
      <c r="G103" s="3">
        <v>2</v>
      </c>
      <c r="H103" s="14">
        <v>1.2</v>
      </c>
      <c r="I103" s="14">
        <f t="shared" si="20"/>
        <v>19.439999999999998</v>
      </c>
      <c r="J103" s="99"/>
      <c r="K103" s="177"/>
      <c r="L103" s="99"/>
      <c r="M103" s="6"/>
      <c r="N103" s="27"/>
    </row>
    <row r="104" spans="1:14" ht="22.5" x14ac:dyDescent="0.2">
      <c r="A104" s="28"/>
      <c r="B104" s="5"/>
      <c r="C104" s="33"/>
      <c r="D104" s="3"/>
      <c r="E104" s="3"/>
      <c r="F104" s="3"/>
      <c r="G104" s="3"/>
      <c r="H104" s="3"/>
      <c r="I104" s="14"/>
      <c r="J104" s="99"/>
      <c r="K104" s="177"/>
      <c r="L104" s="99">
        <f>J104*I104</f>
        <v>0</v>
      </c>
      <c r="M104" s="6"/>
      <c r="N104" s="27"/>
    </row>
    <row r="105" spans="1:14" ht="409.5" x14ac:dyDescent="0.2">
      <c r="A105" s="28">
        <v>17</v>
      </c>
      <c r="B105" s="5">
        <v>5.33</v>
      </c>
      <c r="C105" s="33" t="s">
        <v>312</v>
      </c>
      <c r="D105" s="3"/>
      <c r="E105" s="3"/>
      <c r="F105" s="3"/>
      <c r="G105" s="3"/>
      <c r="H105" s="3"/>
      <c r="I105" s="14"/>
      <c r="J105" s="99"/>
      <c r="K105" s="177"/>
      <c r="L105" s="99">
        <f>J105*I105</f>
        <v>0</v>
      </c>
      <c r="M105" s="6"/>
      <c r="N105" s="27"/>
    </row>
    <row r="106" spans="1:14" ht="22.5" x14ac:dyDescent="0.2">
      <c r="A106" s="28"/>
      <c r="B106" s="5" t="s">
        <v>100</v>
      </c>
      <c r="C106" s="33" t="s">
        <v>101</v>
      </c>
      <c r="D106" s="3"/>
      <c r="E106" s="3"/>
      <c r="F106" s="3"/>
      <c r="G106" s="3"/>
      <c r="H106" s="3"/>
      <c r="I106" s="14"/>
      <c r="J106" s="99"/>
      <c r="K106" s="177"/>
      <c r="L106" s="99">
        <f>J106*I106</f>
        <v>0</v>
      </c>
      <c r="M106" s="6"/>
      <c r="N106" s="27"/>
    </row>
    <row r="107" spans="1:14" ht="42" x14ac:dyDescent="0.2">
      <c r="A107" s="28"/>
      <c r="B107" s="5" t="s">
        <v>102</v>
      </c>
      <c r="C107" s="33" t="s">
        <v>313</v>
      </c>
      <c r="D107" s="3" t="s">
        <v>43</v>
      </c>
      <c r="E107" s="3"/>
      <c r="F107" s="3"/>
      <c r="G107" s="3"/>
      <c r="H107" s="3" t="s">
        <v>309</v>
      </c>
      <c r="I107" s="14">
        <f>SUM(I108:I124)</f>
        <v>104.346</v>
      </c>
      <c r="J107" s="99">
        <v>7997.3</v>
      </c>
      <c r="K107" s="177">
        <v>6051.5569100000002</v>
      </c>
      <c r="L107" s="99">
        <f>J107*I107</f>
        <v>834486.26580000005</v>
      </c>
      <c r="M107" s="6"/>
      <c r="N107" s="27"/>
    </row>
    <row r="108" spans="1:14" ht="22.5" x14ac:dyDescent="0.2">
      <c r="A108" s="28"/>
      <c r="B108" s="5"/>
      <c r="C108" s="33" t="s">
        <v>333</v>
      </c>
      <c r="D108" s="3"/>
      <c r="E108" s="14">
        <f>E42</f>
        <v>21</v>
      </c>
      <c r="F108" s="14">
        <f t="shared" ref="F108:G110" si="21">F42-0.2</f>
        <v>1.5</v>
      </c>
      <c r="G108" s="14">
        <f t="shared" si="21"/>
        <v>1.5</v>
      </c>
      <c r="H108" s="3">
        <v>0.4</v>
      </c>
      <c r="I108" s="14">
        <f t="shared" ref="I108:I116" si="22">PRODUCT(E108:H108)</f>
        <v>18.900000000000002</v>
      </c>
      <c r="J108" s="99"/>
      <c r="K108" s="177"/>
      <c r="L108" s="99"/>
      <c r="M108" s="6"/>
      <c r="N108" s="27"/>
    </row>
    <row r="109" spans="1:14" ht="22.5" x14ac:dyDescent="0.2">
      <c r="A109" s="28"/>
      <c r="B109" s="5"/>
      <c r="C109" s="33"/>
      <c r="D109" s="3"/>
      <c r="E109" s="14">
        <f>E43</f>
        <v>15</v>
      </c>
      <c r="F109" s="14">
        <f t="shared" si="21"/>
        <v>1.5</v>
      </c>
      <c r="G109" s="14">
        <f t="shared" si="21"/>
        <v>1.5</v>
      </c>
      <c r="H109" s="3">
        <v>0.4</v>
      </c>
      <c r="I109" s="14">
        <f t="shared" si="22"/>
        <v>13.5</v>
      </c>
      <c r="J109" s="99"/>
      <c r="K109" s="177"/>
      <c r="L109" s="99"/>
      <c r="M109" s="6"/>
      <c r="N109" s="27"/>
    </row>
    <row r="110" spans="1:14" ht="22.5" x14ac:dyDescent="0.2">
      <c r="A110" s="28"/>
      <c r="B110" s="5"/>
      <c r="C110" s="7"/>
      <c r="D110" s="3"/>
      <c r="E110" s="14">
        <f>E44</f>
        <v>9</v>
      </c>
      <c r="F110" s="14">
        <f t="shared" si="21"/>
        <v>1.5</v>
      </c>
      <c r="G110" s="14">
        <f t="shared" si="21"/>
        <v>1.5</v>
      </c>
      <c r="H110" s="3">
        <v>0.4</v>
      </c>
      <c r="I110" s="14">
        <f t="shared" si="22"/>
        <v>8.1</v>
      </c>
      <c r="J110" s="99"/>
      <c r="K110" s="177"/>
      <c r="L110" s="99"/>
      <c r="M110" s="6"/>
      <c r="N110" s="27"/>
    </row>
    <row r="111" spans="1:14" ht="22.5" x14ac:dyDescent="0.2">
      <c r="A111" s="28"/>
      <c r="B111" s="5"/>
      <c r="C111" s="33" t="s">
        <v>348</v>
      </c>
      <c r="D111" s="3"/>
      <c r="E111" s="14">
        <f t="shared" ref="E111:E116" si="23">E108</f>
        <v>21</v>
      </c>
      <c r="F111" s="3">
        <v>0.3</v>
      </c>
      <c r="G111" s="3">
        <v>0.6</v>
      </c>
      <c r="H111" s="3">
        <f>3-0.4-0.1</f>
        <v>2.5</v>
      </c>
      <c r="I111" s="14">
        <f t="shared" si="22"/>
        <v>9.4499999999999993</v>
      </c>
      <c r="J111" s="99"/>
      <c r="K111" s="177"/>
      <c r="L111" s="99"/>
      <c r="M111" s="6"/>
      <c r="N111" s="27"/>
    </row>
    <row r="112" spans="1:14" ht="22.5" x14ac:dyDescent="0.2">
      <c r="A112" s="28"/>
      <c r="B112" s="5"/>
      <c r="C112" s="33"/>
      <c r="D112" s="3"/>
      <c r="E112" s="14">
        <f t="shared" si="23"/>
        <v>15</v>
      </c>
      <c r="F112" s="3">
        <v>0.3</v>
      </c>
      <c r="G112" s="3">
        <v>0.6</v>
      </c>
      <c r="H112" s="3">
        <f>3-0.4-0.1</f>
        <v>2.5</v>
      </c>
      <c r="I112" s="14">
        <f t="shared" si="22"/>
        <v>6.7499999999999991</v>
      </c>
      <c r="J112" s="99"/>
      <c r="K112" s="177"/>
      <c r="L112" s="99"/>
      <c r="M112" s="6"/>
      <c r="N112" s="27"/>
    </row>
    <row r="113" spans="1:14" ht="22.5" x14ac:dyDescent="0.2">
      <c r="A113" s="28"/>
      <c r="B113" s="5"/>
      <c r="C113" s="33"/>
      <c r="D113" s="3"/>
      <c r="E113" s="14">
        <f t="shared" si="23"/>
        <v>9</v>
      </c>
      <c r="F113" s="3">
        <v>0.3</v>
      </c>
      <c r="G113" s="3">
        <v>0.6</v>
      </c>
      <c r="H113" s="3">
        <f>3-0.4-0.1</f>
        <v>2.5</v>
      </c>
      <c r="I113" s="14">
        <f t="shared" si="22"/>
        <v>4.05</v>
      </c>
      <c r="J113" s="99"/>
      <c r="K113" s="177"/>
      <c r="L113" s="99"/>
      <c r="M113" s="6"/>
      <c r="N113" s="27"/>
    </row>
    <row r="114" spans="1:14" ht="22.5" x14ac:dyDescent="0.2">
      <c r="A114" s="28"/>
      <c r="B114" s="5"/>
      <c r="C114" s="33" t="s">
        <v>350</v>
      </c>
      <c r="D114" s="3"/>
      <c r="E114" s="14">
        <f t="shared" si="23"/>
        <v>21</v>
      </c>
      <c r="F114" s="3">
        <v>0.3</v>
      </c>
      <c r="G114" s="3">
        <v>0.6</v>
      </c>
      <c r="H114" s="3">
        <v>1</v>
      </c>
      <c r="I114" s="14">
        <f t="shared" si="22"/>
        <v>3.78</v>
      </c>
      <c r="J114" s="99"/>
      <c r="K114" s="177"/>
      <c r="L114" s="99"/>
      <c r="M114" s="6"/>
      <c r="N114" s="27"/>
    </row>
    <row r="115" spans="1:14" ht="22.5" x14ac:dyDescent="0.2">
      <c r="A115" s="28"/>
      <c r="B115" s="5"/>
      <c r="C115" s="33"/>
      <c r="D115" s="3"/>
      <c r="E115" s="14">
        <f t="shared" si="23"/>
        <v>15</v>
      </c>
      <c r="F115" s="3">
        <v>0.3</v>
      </c>
      <c r="G115" s="3">
        <v>0.6</v>
      </c>
      <c r="H115" s="3">
        <v>1</v>
      </c>
      <c r="I115" s="14">
        <f t="shared" si="22"/>
        <v>2.6999999999999997</v>
      </c>
      <c r="J115" s="99"/>
      <c r="K115" s="177"/>
      <c r="L115" s="99"/>
      <c r="M115" s="6"/>
      <c r="N115" s="27"/>
    </row>
    <row r="116" spans="1:14" ht="22.5" x14ac:dyDescent="0.2">
      <c r="A116" s="28"/>
      <c r="B116" s="5"/>
      <c r="C116" s="33"/>
      <c r="D116" s="3"/>
      <c r="E116" s="14">
        <f t="shared" si="23"/>
        <v>9</v>
      </c>
      <c r="F116" s="3">
        <v>0.3</v>
      </c>
      <c r="G116" s="3">
        <v>0.6</v>
      </c>
      <c r="H116" s="3">
        <v>1</v>
      </c>
      <c r="I116" s="14">
        <f t="shared" si="22"/>
        <v>1.6199999999999999</v>
      </c>
      <c r="J116" s="99"/>
      <c r="K116" s="177"/>
      <c r="L116" s="99"/>
      <c r="M116" s="6"/>
      <c r="N116" s="27"/>
    </row>
    <row r="117" spans="1:14" ht="22.5" x14ac:dyDescent="0.2">
      <c r="A117" s="28"/>
      <c r="B117" s="5"/>
      <c r="C117" s="33"/>
      <c r="D117" s="3"/>
      <c r="E117" s="14"/>
      <c r="F117" s="3"/>
      <c r="G117" s="3"/>
      <c r="H117" s="3"/>
      <c r="I117" s="14"/>
      <c r="J117" s="99"/>
      <c r="K117" s="177"/>
      <c r="L117" s="99"/>
      <c r="M117" s="6"/>
      <c r="N117" s="27"/>
    </row>
    <row r="118" spans="1:14" ht="22.5" x14ac:dyDescent="0.2">
      <c r="A118" s="28"/>
      <c r="B118" s="5"/>
      <c r="C118" s="33" t="s">
        <v>347</v>
      </c>
      <c r="D118" s="3"/>
      <c r="E118" s="14">
        <f t="shared" ref="E118:F123" si="24">E13</f>
        <v>3</v>
      </c>
      <c r="F118" s="14">
        <f t="shared" si="24"/>
        <v>22.86</v>
      </c>
      <c r="G118" s="3">
        <f t="shared" ref="G118:G123" si="25">0.3</f>
        <v>0.3</v>
      </c>
      <c r="H118" s="3">
        <v>0.5</v>
      </c>
      <c r="I118" s="14">
        <f t="shared" ref="I118:I123" si="26">PRODUCT(E118:H118)</f>
        <v>10.286999999999999</v>
      </c>
      <c r="J118" s="99"/>
      <c r="K118" s="177"/>
      <c r="L118" s="99"/>
      <c r="M118" s="6"/>
      <c r="N118" s="27"/>
    </row>
    <row r="119" spans="1:14" ht="22.5" x14ac:dyDescent="0.2">
      <c r="A119" s="28"/>
      <c r="B119" s="5"/>
      <c r="C119" s="33"/>
      <c r="D119" s="3"/>
      <c r="E119" s="14">
        <f t="shared" si="24"/>
        <v>7</v>
      </c>
      <c r="F119" s="14">
        <f t="shared" si="24"/>
        <v>6.6</v>
      </c>
      <c r="G119" s="3">
        <f t="shared" si="25"/>
        <v>0.3</v>
      </c>
      <c r="H119" s="3">
        <v>0.5</v>
      </c>
      <c r="I119" s="14">
        <f t="shared" si="26"/>
        <v>6.9299999999999988</v>
      </c>
      <c r="J119" s="99"/>
      <c r="K119" s="177"/>
      <c r="L119" s="99"/>
      <c r="M119" s="6"/>
      <c r="N119" s="27"/>
    </row>
    <row r="120" spans="1:14" ht="22.5" x14ac:dyDescent="0.2">
      <c r="A120" s="28"/>
      <c r="B120" s="5"/>
      <c r="C120" s="33"/>
      <c r="D120" s="3"/>
      <c r="E120" s="14">
        <f t="shared" si="24"/>
        <v>3</v>
      </c>
      <c r="F120" s="14">
        <f t="shared" si="24"/>
        <v>15.24</v>
      </c>
      <c r="G120" s="3">
        <f t="shared" si="25"/>
        <v>0.3</v>
      </c>
      <c r="H120" s="3">
        <v>0.5</v>
      </c>
      <c r="I120" s="14">
        <f t="shared" si="26"/>
        <v>6.8579999999999997</v>
      </c>
      <c r="J120" s="99"/>
      <c r="K120" s="177"/>
      <c r="L120" s="99"/>
      <c r="M120" s="6"/>
      <c r="N120" s="27"/>
    </row>
    <row r="121" spans="1:14" ht="22.5" x14ac:dyDescent="0.2">
      <c r="A121" s="28"/>
      <c r="B121" s="5"/>
      <c r="C121" s="33"/>
      <c r="D121" s="3"/>
      <c r="E121" s="14">
        <f t="shared" si="24"/>
        <v>5</v>
      </c>
      <c r="F121" s="14">
        <f t="shared" si="24"/>
        <v>6.66</v>
      </c>
      <c r="G121" s="3">
        <f t="shared" si="25"/>
        <v>0.3</v>
      </c>
      <c r="H121" s="3">
        <v>0.5</v>
      </c>
      <c r="I121" s="14">
        <f t="shared" si="26"/>
        <v>4.9949999999999992</v>
      </c>
      <c r="J121" s="99"/>
      <c r="K121" s="177"/>
      <c r="L121" s="99"/>
      <c r="M121" s="6"/>
      <c r="N121" s="27"/>
    </row>
    <row r="122" spans="1:14" ht="22.5" x14ac:dyDescent="0.2">
      <c r="A122" s="28"/>
      <c r="B122" s="5"/>
      <c r="C122" s="33"/>
      <c r="D122" s="3"/>
      <c r="E122" s="14">
        <f t="shared" si="24"/>
        <v>3</v>
      </c>
      <c r="F122" s="14">
        <f t="shared" si="24"/>
        <v>7.62</v>
      </c>
      <c r="G122" s="3">
        <f t="shared" si="25"/>
        <v>0.3</v>
      </c>
      <c r="H122" s="3">
        <v>0.5</v>
      </c>
      <c r="I122" s="14">
        <f t="shared" si="26"/>
        <v>3.4289999999999998</v>
      </c>
      <c r="J122" s="99"/>
      <c r="K122" s="177"/>
      <c r="L122" s="99"/>
      <c r="M122" s="6"/>
      <c r="N122" s="27"/>
    </row>
    <row r="123" spans="1:14" ht="22.5" x14ac:dyDescent="0.2">
      <c r="A123" s="28"/>
      <c r="B123" s="5"/>
      <c r="C123" s="33"/>
      <c r="D123" s="3"/>
      <c r="E123" s="14">
        <f t="shared" si="24"/>
        <v>3</v>
      </c>
      <c r="F123" s="14">
        <f t="shared" si="24"/>
        <v>6.66</v>
      </c>
      <c r="G123" s="3">
        <f t="shared" si="25"/>
        <v>0.3</v>
      </c>
      <c r="H123" s="3">
        <v>0.5</v>
      </c>
      <c r="I123" s="14">
        <f t="shared" si="26"/>
        <v>2.9969999999999999</v>
      </c>
      <c r="J123" s="99"/>
      <c r="K123" s="177"/>
      <c r="L123" s="99"/>
      <c r="M123" s="6"/>
      <c r="N123" s="27"/>
    </row>
    <row r="124" spans="1:14" ht="22.5" x14ac:dyDescent="0.2">
      <c r="A124" s="28"/>
      <c r="B124" s="5"/>
      <c r="C124" s="33"/>
      <c r="D124" s="3"/>
      <c r="E124" s="14"/>
      <c r="F124" s="14"/>
      <c r="G124" s="3"/>
      <c r="H124" s="3"/>
      <c r="I124" s="14"/>
      <c r="J124" s="99"/>
      <c r="K124" s="177"/>
      <c r="L124" s="99"/>
      <c r="M124" s="6"/>
      <c r="N124" s="27"/>
    </row>
    <row r="125" spans="1:14" ht="42" x14ac:dyDescent="0.2">
      <c r="A125" s="28">
        <v>18</v>
      </c>
      <c r="B125" s="5" t="s">
        <v>104</v>
      </c>
      <c r="C125" s="33" t="s">
        <v>315</v>
      </c>
      <c r="D125" s="3" t="s">
        <v>43</v>
      </c>
      <c r="E125" s="3"/>
      <c r="F125" s="3"/>
      <c r="G125" s="3"/>
      <c r="H125" s="3"/>
      <c r="I125" s="14"/>
      <c r="J125" s="99">
        <v>8599.35</v>
      </c>
      <c r="K125" s="177">
        <v>6262.0466699999997</v>
      </c>
      <c r="L125" s="99">
        <f>J125*I125</f>
        <v>0</v>
      </c>
      <c r="M125" s="6"/>
      <c r="N125" s="27"/>
    </row>
    <row r="126" spans="1:14" ht="22.5" x14ac:dyDescent="0.2">
      <c r="A126" s="28"/>
      <c r="B126" s="5" t="s">
        <v>106</v>
      </c>
      <c r="C126" s="33" t="s">
        <v>107</v>
      </c>
      <c r="D126" s="3"/>
      <c r="E126" s="3"/>
      <c r="F126" s="3"/>
      <c r="G126" s="3"/>
      <c r="H126" s="3"/>
      <c r="I126" s="14"/>
      <c r="J126" s="99"/>
      <c r="K126" s="177">
        <v>0</v>
      </c>
      <c r="L126" s="99">
        <f>J126*I126</f>
        <v>0</v>
      </c>
      <c r="M126" s="6"/>
      <c r="N126" s="27"/>
    </row>
    <row r="127" spans="1:14" ht="42" x14ac:dyDescent="0.2">
      <c r="A127" s="28"/>
      <c r="B127" s="5" t="s">
        <v>108</v>
      </c>
      <c r="C127" s="33" t="s">
        <v>313</v>
      </c>
      <c r="D127" s="3" t="s">
        <v>43</v>
      </c>
      <c r="E127" s="3"/>
      <c r="F127" s="3"/>
      <c r="G127" s="3"/>
      <c r="H127" s="3" t="s">
        <v>309</v>
      </c>
      <c r="I127" s="14">
        <f>SUM(I128:I166)</f>
        <v>219.26903999999999</v>
      </c>
      <c r="J127" s="99">
        <v>10080.15</v>
      </c>
      <c r="K127" s="177">
        <v>6660.9631200000003</v>
      </c>
      <c r="L127" s="99">
        <f>J127*I127</f>
        <v>2210264.8135559997</v>
      </c>
      <c r="M127" s="6"/>
      <c r="N127" s="27"/>
    </row>
    <row r="128" spans="1:14" ht="22.5" x14ac:dyDescent="0.2">
      <c r="A128" s="28"/>
      <c r="B128" s="5"/>
      <c r="C128" s="33" t="s">
        <v>399</v>
      </c>
      <c r="D128" s="3"/>
      <c r="E128" s="14">
        <f>E108</f>
        <v>21</v>
      </c>
      <c r="F128" s="14">
        <f t="shared" ref="F128:G130" si="27">F114</f>
        <v>0.3</v>
      </c>
      <c r="G128" s="14">
        <f t="shared" si="27"/>
        <v>0.6</v>
      </c>
      <c r="H128" s="3">
        <v>2</v>
      </c>
      <c r="I128" s="14">
        <f>PRODUCT(E128:H128)</f>
        <v>7.56</v>
      </c>
      <c r="J128" s="99"/>
      <c r="K128" s="177"/>
      <c r="L128" s="99"/>
      <c r="M128" s="6"/>
      <c r="N128" s="27"/>
    </row>
    <row r="129" spans="1:14" ht="22.5" x14ac:dyDescent="0.2">
      <c r="A129" s="28"/>
      <c r="B129" s="5"/>
      <c r="C129" s="66"/>
      <c r="D129" s="3"/>
      <c r="E129" s="14">
        <f>E109</f>
        <v>15</v>
      </c>
      <c r="F129" s="14">
        <f t="shared" si="27"/>
        <v>0.3</v>
      </c>
      <c r="G129" s="14">
        <f t="shared" si="27"/>
        <v>0.6</v>
      </c>
      <c r="H129" s="3">
        <v>2</v>
      </c>
      <c r="I129" s="14">
        <f>PRODUCT(E129:H129)</f>
        <v>5.3999999999999995</v>
      </c>
      <c r="J129" s="99"/>
      <c r="K129" s="177"/>
      <c r="L129" s="99"/>
      <c r="M129" s="6"/>
      <c r="N129" s="27"/>
    </row>
    <row r="130" spans="1:14" ht="22.5" x14ac:dyDescent="0.2">
      <c r="A130" s="28"/>
      <c r="B130" s="5"/>
      <c r="C130" s="66"/>
      <c r="D130" s="3"/>
      <c r="E130" s="14">
        <f>E110</f>
        <v>9</v>
      </c>
      <c r="F130" s="14">
        <f t="shared" si="27"/>
        <v>0.3</v>
      </c>
      <c r="G130" s="14">
        <f t="shared" si="27"/>
        <v>0.6</v>
      </c>
      <c r="H130" s="3">
        <v>2</v>
      </c>
      <c r="I130" s="14">
        <f>PRODUCT(E130:H130)</f>
        <v>3.2399999999999998</v>
      </c>
      <c r="J130" s="99"/>
      <c r="K130" s="177"/>
      <c r="L130" s="99"/>
      <c r="M130" s="6"/>
      <c r="N130" s="27"/>
    </row>
    <row r="131" spans="1:14" ht="22.5" x14ac:dyDescent="0.2">
      <c r="A131" s="28"/>
      <c r="B131" s="5"/>
      <c r="C131" s="66"/>
      <c r="D131" s="3"/>
      <c r="E131" s="14"/>
      <c r="F131" s="14"/>
      <c r="G131" s="14"/>
      <c r="H131" s="3"/>
      <c r="I131" s="14"/>
      <c r="J131" s="99"/>
      <c r="K131" s="177"/>
      <c r="L131" s="99"/>
      <c r="M131" s="6"/>
      <c r="N131" s="27"/>
    </row>
    <row r="132" spans="1:14" ht="22.5" x14ac:dyDescent="0.2">
      <c r="A132" s="28"/>
      <c r="B132" s="5"/>
      <c r="C132" s="66"/>
      <c r="D132" s="3"/>
      <c r="E132" s="14">
        <f t="shared" ref="E132:G134" si="28">E128</f>
        <v>21</v>
      </c>
      <c r="F132" s="14">
        <f t="shared" si="28"/>
        <v>0.3</v>
      </c>
      <c r="G132" s="14">
        <f t="shared" si="28"/>
        <v>0.6</v>
      </c>
      <c r="H132" s="3">
        <v>1.2</v>
      </c>
      <c r="I132" s="14">
        <f t="shared" ref="I132:I146" si="29">PRODUCT(E132:H132)</f>
        <v>4.5359999999999996</v>
      </c>
      <c r="J132" s="99"/>
      <c r="K132" s="177"/>
      <c r="L132" s="99"/>
      <c r="M132" s="6"/>
      <c r="N132" s="27"/>
    </row>
    <row r="133" spans="1:14" ht="22.5" x14ac:dyDescent="0.2">
      <c r="A133" s="28"/>
      <c r="B133" s="5"/>
      <c r="C133" s="66"/>
      <c r="D133" s="3"/>
      <c r="E133" s="14">
        <f t="shared" si="28"/>
        <v>15</v>
      </c>
      <c r="F133" s="14">
        <f t="shared" si="28"/>
        <v>0.3</v>
      </c>
      <c r="G133" s="14">
        <f t="shared" si="28"/>
        <v>0.6</v>
      </c>
      <c r="H133" s="3">
        <v>1.2</v>
      </c>
      <c r="I133" s="14">
        <f t="shared" si="29"/>
        <v>3.2399999999999998</v>
      </c>
      <c r="J133" s="99"/>
      <c r="K133" s="177"/>
      <c r="L133" s="99"/>
      <c r="M133" s="6"/>
      <c r="N133" s="27"/>
    </row>
    <row r="134" spans="1:14" ht="22.5" x14ac:dyDescent="0.2">
      <c r="A134" s="28"/>
      <c r="B134" s="5"/>
      <c r="C134" s="66"/>
      <c r="D134" s="3"/>
      <c r="E134" s="14">
        <f t="shared" si="28"/>
        <v>9</v>
      </c>
      <c r="F134" s="14">
        <f t="shared" si="28"/>
        <v>0.3</v>
      </c>
      <c r="G134" s="14">
        <f t="shared" si="28"/>
        <v>0.6</v>
      </c>
      <c r="H134" s="3">
        <v>1.2</v>
      </c>
      <c r="I134" s="14">
        <f t="shared" si="29"/>
        <v>1.9439999999999997</v>
      </c>
      <c r="J134" s="99"/>
      <c r="K134" s="177"/>
      <c r="L134" s="99"/>
      <c r="M134" s="6"/>
      <c r="N134" s="27"/>
    </row>
    <row r="135" spans="1:14" ht="22.5" x14ac:dyDescent="0.2">
      <c r="A135" s="28"/>
      <c r="B135" s="5"/>
      <c r="C135" s="33" t="s">
        <v>400</v>
      </c>
      <c r="D135" s="3">
        <v>1</v>
      </c>
      <c r="E135" s="14">
        <v>3</v>
      </c>
      <c r="F135" s="14">
        <v>22.86</v>
      </c>
      <c r="G135" s="14">
        <v>0.3</v>
      </c>
      <c r="H135" s="14">
        <v>0.4</v>
      </c>
      <c r="I135" s="14">
        <f t="shared" si="29"/>
        <v>8.2295999999999996</v>
      </c>
      <c r="J135" s="99"/>
      <c r="K135" s="177"/>
      <c r="L135" s="99"/>
      <c r="M135" s="6"/>
      <c r="N135" s="27"/>
    </row>
    <row r="136" spans="1:14" ht="22.5" x14ac:dyDescent="0.2">
      <c r="A136" s="28"/>
      <c r="B136" s="5"/>
      <c r="C136" s="33"/>
      <c r="D136" s="3">
        <v>1</v>
      </c>
      <c r="E136" s="14">
        <v>7</v>
      </c>
      <c r="F136" s="14">
        <v>6.66</v>
      </c>
      <c r="G136" s="14">
        <v>0.3</v>
      </c>
      <c r="H136" s="14">
        <v>0.4</v>
      </c>
      <c r="I136" s="14">
        <f t="shared" si="29"/>
        <v>5.5944000000000003</v>
      </c>
      <c r="J136" s="99"/>
      <c r="K136" s="177"/>
      <c r="L136" s="99"/>
      <c r="M136" s="6"/>
      <c r="N136" s="27"/>
    </row>
    <row r="137" spans="1:14" ht="22.5" x14ac:dyDescent="0.2">
      <c r="A137" s="28"/>
      <c r="B137" s="5"/>
      <c r="C137" s="33"/>
      <c r="D137" s="3">
        <v>1</v>
      </c>
      <c r="E137" s="14">
        <v>3</v>
      </c>
      <c r="F137" s="14">
        <f>15.24</f>
        <v>15.24</v>
      </c>
      <c r="G137" s="14">
        <v>0.3</v>
      </c>
      <c r="H137" s="14">
        <v>0.4</v>
      </c>
      <c r="I137" s="14">
        <f t="shared" si="29"/>
        <v>5.4863999999999997</v>
      </c>
      <c r="J137" s="99"/>
      <c r="K137" s="177"/>
      <c r="L137" s="99"/>
      <c r="M137" s="6"/>
      <c r="N137" s="27"/>
    </row>
    <row r="138" spans="1:14" ht="22.5" x14ac:dyDescent="0.2">
      <c r="A138" s="28"/>
      <c r="B138" s="5"/>
      <c r="C138" s="33"/>
      <c r="D138" s="3">
        <v>1</v>
      </c>
      <c r="E138" s="14">
        <v>5</v>
      </c>
      <c r="F138" s="14">
        <v>6.66</v>
      </c>
      <c r="G138" s="14">
        <v>0.3</v>
      </c>
      <c r="H138" s="14">
        <v>0.4</v>
      </c>
      <c r="I138" s="14">
        <f t="shared" si="29"/>
        <v>3.9959999999999996</v>
      </c>
      <c r="J138" s="99"/>
      <c r="K138" s="177"/>
      <c r="L138" s="99"/>
      <c r="M138" s="6"/>
      <c r="N138" s="27"/>
    </row>
    <row r="139" spans="1:14" ht="22.5" x14ac:dyDescent="0.2">
      <c r="A139" s="28"/>
      <c r="B139" s="5"/>
      <c r="C139" s="33"/>
      <c r="D139" s="3">
        <v>1</v>
      </c>
      <c r="E139" s="14">
        <v>3</v>
      </c>
      <c r="F139" s="14">
        <v>7.62</v>
      </c>
      <c r="G139" s="14">
        <v>0.3</v>
      </c>
      <c r="H139" s="14">
        <v>0.4</v>
      </c>
      <c r="I139" s="14">
        <f t="shared" si="29"/>
        <v>2.7431999999999999</v>
      </c>
      <c r="J139" s="99"/>
      <c r="K139" s="177"/>
      <c r="L139" s="99"/>
      <c r="M139" s="6"/>
      <c r="N139" s="27"/>
    </row>
    <row r="140" spans="1:14" ht="22.5" x14ac:dyDescent="0.2">
      <c r="A140" s="28"/>
      <c r="B140" s="5"/>
      <c r="C140" s="33"/>
      <c r="D140" s="3">
        <v>1</v>
      </c>
      <c r="E140" s="3">
        <v>3</v>
      </c>
      <c r="F140" s="14">
        <v>6.66</v>
      </c>
      <c r="G140" s="14">
        <v>0.3</v>
      </c>
      <c r="H140" s="14">
        <v>1.4</v>
      </c>
      <c r="I140" s="14">
        <f t="shared" si="29"/>
        <v>8.3915999999999986</v>
      </c>
      <c r="J140" s="99"/>
      <c r="K140" s="177"/>
      <c r="L140" s="99"/>
      <c r="M140" s="6"/>
      <c r="N140" s="27"/>
    </row>
    <row r="141" spans="1:14" ht="22.5" x14ac:dyDescent="0.2">
      <c r="A141" s="28"/>
      <c r="B141" s="5"/>
      <c r="C141" s="33" t="s">
        <v>374</v>
      </c>
      <c r="D141" s="3"/>
      <c r="E141" s="14">
        <v>2</v>
      </c>
      <c r="F141" s="14">
        <v>22.86</v>
      </c>
      <c r="G141" s="3">
        <v>0.2</v>
      </c>
      <c r="H141" s="3">
        <v>1.2</v>
      </c>
      <c r="I141" s="14">
        <f t="shared" si="29"/>
        <v>10.972799999999999</v>
      </c>
      <c r="J141" s="99"/>
      <c r="K141" s="177"/>
      <c r="L141" s="99"/>
      <c r="M141" s="6"/>
      <c r="N141" s="27"/>
    </row>
    <row r="142" spans="1:14" ht="22.5" x14ac:dyDescent="0.2">
      <c r="A142" s="28"/>
      <c r="B142" s="5"/>
      <c r="C142" s="33"/>
      <c r="D142" s="3"/>
      <c r="E142" s="14">
        <v>7</v>
      </c>
      <c r="F142" s="14">
        <v>6.66</v>
      </c>
      <c r="G142" s="3">
        <v>0.2</v>
      </c>
      <c r="H142" s="3">
        <v>1.2</v>
      </c>
      <c r="I142" s="14">
        <f t="shared" si="29"/>
        <v>11.188800000000002</v>
      </c>
      <c r="J142" s="99"/>
      <c r="K142" s="177"/>
      <c r="L142" s="99"/>
      <c r="M142" s="6"/>
      <c r="N142" s="27"/>
    </row>
    <row r="143" spans="1:14" ht="22.5" x14ac:dyDescent="0.2">
      <c r="A143" s="28"/>
      <c r="B143" s="5"/>
      <c r="C143" s="33"/>
      <c r="D143" s="3"/>
      <c r="E143" s="14">
        <v>2</v>
      </c>
      <c r="F143" s="14">
        <f>15.24</f>
        <v>15.24</v>
      </c>
      <c r="G143" s="3">
        <v>0.2</v>
      </c>
      <c r="H143" s="3">
        <v>1.2</v>
      </c>
      <c r="I143" s="14">
        <f t="shared" si="29"/>
        <v>7.3151999999999999</v>
      </c>
      <c r="J143" s="99"/>
      <c r="K143" s="177"/>
      <c r="L143" s="99"/>
      <c r="M143" s="6"/>
      <c r="N143" s="27"/>
    </row>
    <row r="144" spans="1:14" ht="22.5" x14ac:dyDescent="0.2">
      <c r="A144" s="28"/>
      <c r="B144" s="5"/>
      <c r="C144" s="33"/>
      <c r="D144" s="3"/>
      <c r="E144" s="14">
        <v>5</v>
      </c>
      <c r="F144" s="14">
        <v>6.66</v>
      </c>
      <c r="G144" s="3">
        <v>0.2</v>
      </c>
      <c r="H144" s="3">
        <v>1.2</v>
      </c>
      <c r="I144" s="14">
        <f t="shared" si="29"/>
        <v>7.992</v>
      </c>
      <c r="J144" s="99"/>
      <c r="K144" s="177"/>
      <c r="L144" s="99"/>
      <c r="M144" s="6"/>
      <c r="N144" s="27"/>
    </row>
    <row r="145" spans="1:14" ht="22.5" x14ac:dyDescent="0.2">
      <c r="A145" s="28"/>
      <c r="B145" s="5"/>
      <c r="C145" s="33"/>
      <c r="D145" s="3"/>
      <c r="E145" s="14">
        <v>2</v>
      </c>
      <c r="F145" s="14">
        <v>7.62</v>
      </c>
      <c r="G145" s="3">
        <v>0.2</v>
      </c>
      <c r="H145" s="3">
        <v>1.2</v>
      </c>
      <c r="I145" s="14">
        <f t="shared" si="29"/>
        <v>3.6576</v>
      </c>
      <c r="J145" s="99"/>
      <c r="K145" s="177"/>
      <c r="L145" s="99"/>
      <c r="M145" s="6"/>
      <c r="N145" s="27"/>
    </row>
    <row r="146" spans="1:14" ht="22.5" x14ac:dyDescent="0.2">
      <c r="A146" s="28"/>
      <c r="B146" s="5"/>
      <c r="C146" s="33"/>
      <c r="D146" s="3"/>
      <c r="E146" s="3">
        <v>3</v>
      </c>
      <c r="F146" s="14">
        <v>6.66</v>
      </c>
      <c r="G146" s="3">
        <v>0.2</v>
      </c>
      <c r="H146" s="3">
        <v>1.2</v>
      </c>
      <c r="I146" s="14">
        <f t="shared" si="29"/>
        <v>4.7952000000000004</v>
      </c>
      <c r="J146" s="99"/>
      <c r="K146" s="177"/>
      <c r="L146" s="99"/>
      <c r="M146" s="6"/>
      <c r="N146" s="27"/>
    </row>
    <row r="147" spans="1:14" ht="22.5" x14ac:dyDescent="0.2">
      <c r="A147" s="28"/>
      <c r="B147" s="5"/>
      <c r="C147" s="33"/>
      <c r="D147" s="3"/>
      <c r="E147" s="3"/>
      <c r="F147" s="14"/>
      <c r="G147" s="3"/>
      <c r="H147" s="3"/>
      <c r="I147" s="14"/>
      <c r="J147" s="99"/>
      <c r="K147" s="177"/>
      <c r="L147" s="99"/>
      <c r="M147" s="6"/>
      <c r="N147" s="27"/>
    </row>
    <row r="148" spans="1:14" ht="22.5" x14ac:dyDescent="0.2">
      <c r="A148" s="28"/>
      <c r="B148" s="5"/>
      <c r="C148" s="33" t="s">
        <v>401</v>
      </c>
      <c r="D148" s="3"/>
      <c r="E148" s="3"/>
      <c r="F148" s="14">
        <f>F135</f>
        <v>22.86</v>
      </c>
      <c r="G148" s="2">
        <f>F136</f>
        <v>6.66</v>
      </c>
      <c r="H148" s="3">
        <v>0.2</v>
      </c>
      <c r="I148" s="14">
        <f>PRODUCT(E148:H148)</f>
        <v>30.449520000000003</v>
      </c>
      <c r="J148" s="99"/>
      <c r="K148" s="177"/>
      <c r="L148" s="99"/>
      <c r="M148" s="6"/>
      <c r="N148" s="27"/>
    </row>
    <row r="149" spans="1:14" ht="22.5" x14ac:dyDescent="0.2">
      <c r="A149" s="28"/>
      <c r="B149" s="5"/>
      <c r="C149" s="33"/>
      <c r="D149" s="3"/>
      <c r="E149" s="3"/>
      <c r="F149" s="14">
        <f>F137</f>
        <v>15.24</v>
      </c>
      <c r="G149" s="2">
        <f>F138</f>
        <v>6.66</v>
      </c>
      <c r="H149" s="3">
        <v>0.2</v>
      </c>
      <c r="I149" s="14">
        <f>PRODUCT(E149:H149)</f>
        <v>20.299680000000002</v>
      </c>
      <c r="J149" s="99"/>
      <c r="K149" s="177"/>
      <c r="L149" s="99"/>
      <c r="M149" s="6"/>
      <c r="N149" s="27"/>
    </row>
    <row r="150" spans="1:14" ht="22.5" x14ac:dyDescent="0.2">
      <c r="A150" s="28"/>
      <c r="B150" s="5"/>
      <c r="C150" s="33"/>
      <c r="D150" s="3"/>
      <c r="E150" s="14"/>
      <c r="F150" s="14">
        <f>F139</f>
        <v>7.62</v>
      </c>
      <c r="G150" s="2">
        <f>F138</f>
        <v>6.66</v>
      </c>
      <c r="H150" s="3">
        <v>0.2</v>
      </c>
      <c r="I150" s="14">
        <f>PRODUCT(E150:H150)</f>
        <v>10.149840000000001</v>
      </c>
      <c r="J150" s="99"/>
      <c r="K150" s="177"/>
      <c r="L150" s="99"/>
      <c r="M150" s="6"/>
      <c r="N150" s="27"/>
    </row>
    <row r="151" spans="1:14" ht="22.5" x14ac:dyDescent="0.2">
      <c r="A151" s="28"/>
      <c r="B151" s="5"/>
      <c r="C151" s="33"/>
      <c r="D151" s="3"/>
      <c r="E151" s="14">
        <v>-12</v>
      </c>
      <c r="F151" s="14">
        <v>0.8</v>
      </c>
      <c r="G151" s="14">
        <v>1</v>
      </c>
      <c r="H151" s="3">
        <v>0.2</v>
      </c>
      <c r="I151" s="14">
        <f>PRODUCT(E151:H151)</f>
        <v>-1.9200000000000004</v>
      </c>
      <c r="J151" s="99"/>
      <c r="K151" s="177"/>
      <c r="L151" s="99"/>
      <c r="M151" s="6"/>
      <c r="N151" s="27"/>
    </row>
    <row r="152" spans="1:14" ht="22.5" x14ac:dyDescent="0.2">
      <c r="A152" s="28"/>
      <c r="B152" s="5"/>
      <c r="C152" s="33"/>
      <c r="D152" s="3"/>
      <c r="E152" s="14"/>
      <c r="F152" s="14"/>
      <c r="G152" s="14"/>
      <c r="H152" s="3"/>
      <c r="I152" s="14"/>
      <c r="J152" s="99"/>
      <c r="K152" s="177"/>
      <c r="L152" s="99"/>
      <c r="M152" s="6"/>
      <c r="N152" s="27"/>
    </row>
    <row r="153" spans="1:14" ht="22.5" x14ac:dyDescent="0.2">
      <c r="A153" s="28"/>
      <c r="B153" s="5"/>
      <c r="C153" s="33" t="s">
        <v>402</v>
      </c>
      <c r="D153" s="3"/>
      <c r="E153" s="14">
        <v>2</v>
      </c>
      <c r="F153" s="14">
        <f>F148</f>
        <v>22.86</v>
      </c>
      <c r="G153" s="3">
        <v>0.2</v>
      </c>
      <c r="H153" s="3">
        <v>1</v>
      </c>
      <c r="I153" s="14">
        <f t="shared" ref="I153:I158" si="30">PRODUCT(E153:H153)</f>
        <v>9.1440000000000001</v>
      </c>
      <c r="J153" s="99"/>
      <c r="K153" s="177"/>
      <c r="L153" s="99"/>
      <c r="M153" s="6"/>
      <c r="N153" s="27"/>
    </row>
    <row r="154" spans="1:14" ht="22.5" x14ac:dyDescent="0.2">
      <c r="A154" s="28"/>
      <c r="B154" s="5"/>
      <c r="C154" s="33"/>
      <c r="D154" s="3"/>
      <c r="E154" s="14">
        <v>2</v>
      </c>
      <c r="F154" s="14">
        <f>F149</f>
        <v>15.24</v>
      </c>
      <c r="G154" s="3">
        <v>0.2</v>
      </c>
      <c r="H154" s="3">
        <v>1</v>
      </c>
      <c r="I154" s="14">
        <f t="shared" si="30"/>
        <v>6.0960000000000001</v>
      </c>
      <c r="J154" s="99"/>
      <c r="K154" s="177"/>
      <c r="L154" s="99"/>
      <c r="M154" s="6"/>
      <c r="N154" s="27"/>
    </row>
    <row r="155" spans="1:14" ht="22.5" x14ac:dyDescent="0.2">
      <c r="A155" s="28"/>
      <c r="B155" s="5"/>
      <c r="C155" s="33"/>
      <c r="D155" s="3"/>
      <c r="E155" s="14">
        <v>2</v>
      </c>
      <c r="F155" s="14">
        <f>F150</f>
        <v>7.62</v>
      </c>
      <c r="G155" s="3">
        <v>0.2</v>
      </c>
      <c r="H155" s="3">
        <v>1</v>
      </c>
      <c r="I155" s="14">
        <f t="shared" si="30"/>
        <v>3.048</v>
      </c>
      <c r="J155" s="99"/>
      <c r="K155" s="177"/>
      <c r="L155" s="99"/>
      <c r="M155" s="6"/>
      <c r="N155" s="27"/>
    </row>
    <row r="156" spans="1:14" ht="22.5" x14ac:dyDescent="0.2">
      <c r="A156" s="28"/>
      <c r="B156" s="5"/>
      <c r="C156" s="33"/>
      <c r="D156" s="3"/>
      <c r="E156" s="14">
        <v>2</v>
      </c>
      <c r="F156" s="14">
        <f>G148</f>
        <v>6.66</v>
      </c>
      <c r="G156" s="3">
        <v>0.2</v>
      </c>
      <c r="H156" s="3">
        <v>1</v>
      </c>
      <c r="I156" s="14">
        <f t="shared" si="30"/>
        <v>2.6640000000000001</v>
      </c>
      <c r="J156" s="99"/>
      <c r="K156" s="177"/>
      <c r="L156" s="99"/>
      <c r="M156" s="6"/>
      <c r="N156" s="27"/>
    </row>
    <row r="157" spans="1:14" ht="22.5" x14ac:dyDescent="0.2">
      <c r="A157" s="28"/>
      <c r="B157" s="5"/>
      <c r="C157" s="33"/>
      <c r="D157" s="3"/>
      <c r="E157" s="14">
        <v>2</v>
      </c>
      <c r="F157" s="14">
        <f>G149</f>
        <v>6.66</v>
      </c>
      <c r="G157" s="3">
        <v>0.2</v>
      </c>
      <c r="H157" s="3">
        <v>1</v>
      </c>
      <c r="I157" s="14">
        <f t="shared" si="30"/>
        <v>2.6640000000000001</v>
      </c>
      <c r="J157" s="99"/>
      <c r="K157" s="177"/>
      <c r="L157" s="99"/>
      <c r="M157" s="6"/>
      <c r="N157" s="27"/>
    </row>
    <row r="158" spans="1:14" ht="22.5" x14ac:dyDescent="0.2">
      <c r="A158" s="28"/>
      <c r="B158" s="5"/>
      <c r="C158" s="33"/>
      <c r="D158" s="3"/>
      <c r="E158" s="14">
        <v>2</v>
      </c>
      <c r="F158" s="14">
        <f>G150</f>
        <v>6.66</v>
      </c>
      <c r="G158" s="3">
        <v>0.2</v>
      </c>
      <c r="H158" s="3">
        <v>1</v>
      </c>
      <c r="I158" s="14">
        <f t="shared" si="30"/>
        <v>2.6640000000000001</v>
      </c>
      <c r="J158" s="99"/>
      <c r="K158" s="177"/>
      <c r="L158" s="99"/>
      <c r="M158" s="6"/>
      <c r="N158" s="27"/>
    </row>
    <row r="159" spans="1:14" ht="22.5" x14ac:dyDescent="0.2">
      <c r="A159" s="28"/>
      <c r="B159" s="5"/>
      <c r="C159" s="33"/>
      <c r="D159" s="3"/>
      <c r="E159" s="14"/>
      <c r="F159" s="14"/>
      <c r="G159" s="3"/>
      <c r="H159" s="3"/>
      <c r="I159" s="14"/>
      <c r="J159" s="99"/>
      <c r="K159" s="177"/>
      <c r="L159" s="99"/>
      <c r="M159" s="6"/>
      <c r="N159" s="27"/>
    </row>
    <row r="160" spans="1:14" ht="22.5" x14ac:dyDescent="0.2">
      <c r="A160" s="28"/>
      <c r="B160" s="5"/>
      <c r="C160" s="33" t="s">
        <v>403</v>
      </c>
      <c r="D160" s="3"/>
      <c r="E160" s="14"/>
      <c r="F160" s="14">
        <f>F153</f>
        <v>22.86</v>
      </c>
      <c r="G160" s="3">
        <v>0.8</v>
      </c>
      <c r="H160" s="3">
        <v>0.2</v>
      </c>
      <c r="I160" s="14">
        <f>PRODUCT(E160:H160)</f>
        <v>3.6576000000000004</v>
      </c>
      <c r="J160" s="99"/>
      <c r="K160" s="177"/>
      <c r="L160" s="99"/>
      <c r="M160" s="6"/>
      <c r="N160" s="27"/>
    </row>
    <row r="161" spans="1:14" ht="22.5" x14ac:dyDescent="0.2">
      <c r="A161" s="28"/>
      <c r="B161" s="5"/>
      <c r="C161" s="33"/>
      <c r="D161" s="3"/>
      <c r="E161" s="14"/>
      <c r="F161" s="14">
        <f>F154</f>
        <v>15.24</v>
      </c>
      <c r="G161" s="3">
        <v>0.8</v>
      </c>
      <c r="H161" s="3">
        <v>0.2</v>
      </c>
      <c r="I161" s="14">
        <f>PRODUCT(E161:H161)</f>
        <v>2.4384000000000001</v>
      </c>
      <c r="J161" s="99"/>
      <c r="K161" s="177"/>
      <c r="L161" s="99"/>
      <c r="M161" s="6"/>
      <c r="N161" s="27"/>
    </row>
    <row r="162" spans="1:14" ht="22.5" x14ac:dyDescent="0.2">
      <c r="A162" s="28"/>
      <c r="B162" s="5"/>
      <c r="C162" s="33"/>
      <c r="D162" s="3"/>
      <c r="E162" s="14"/>
      <c r="F162" s="14">
        <f>F155</f>
        <v>7.62</v>
      </c>
      <c r="G162" s="3">
        <v>0.8</v>
      </c>
      <c r="H162" s="3">
        <v>0.2</v>
      </c>
      <c r="I162" s="14">
        <f>PRODUCT(E162:H162)</f>
        <v>1.2192000000000001</v>
      </c>
      <c r="J162" s="99"/>
      <c r="K162" s="177"/>
      <c r="L162" s="99"/>
      <c r="M162" s="6"/>
      <c r="N162" s="27"/>
    </row>
    <row r="163" spans="1:14" ht="22.5" x14ac:dyDescent="0.2">
      <c r="A163" s="28"/>
      <c r="B163" s="5"/>
      <c r="C163" s="33"/>
      <c r="D163" s="3"/>
      <c r="E163" s="14"/>
      <c r="F163" s="14"/>
      <c r="G163" s="3"/>
      <c r="H163" s="3"/>
      <c r="I163" s="14"/>
      <c r="J163" s="99"/>
      <c r="K163" s="177"/>
      <c r="L163" s="99"/>
      <c r="M163" s="6"/>
      <c r="N163" s="27"/>
    </row>
    <row r="164" spans="1:14" ht="22.5" x14ac:dyDescent="0.2">
      <c r="A164" s="28"/>
      <c r="B164" s="5"/>
      <c r="C164" s="33" t="s">
        <v>398</v>
      </c>
      <c r="D164" s="3"/>
      <c r="E164" s="99">
        <f>(6*19)+(6*13)+(6*7)-45</f>
        <v>189</v>
      </c>
      <c r="F164" s="3">
        <v>0.3</v>
      </c>
      <c r="G164" s="3">
        <v>0.3</v>
      </c>
      <c r="H164" s="3">
        <v>1.2</v>
      </c>
      <c r="I164" s="14">
        <f>PRODUCT(E164:H164)</f>
        <v>20.411999999999995</v>
      </c>
      <c r="J164" s="99"/>
      <c r="K164" s="177"/>
      <c r="L164" s="99"/>
      <c r="M164" s="6"/>
      <c r="N164" s="27"/>
    </row>
    <row r="165" spans="1:14" ht="22.5" x14ac:dyDescent="0.2">
      <c r="A165" s="28"/>
      <c r="B165" s="5"/>
      <c r="C165" s="33"/>
      <c r="D165" s="3"/>
      <c r="E165" s="99"/>
      <c r="F165" s="3"/>
      <c r="G165" s="3"/>
      <c r="H165" s="3"/>
      <c r="I165" s="14"/>
      <c r="J165" s="99"/>
      <c r="K165" s="177"/>
      <c r="L165" s="99"/>
      <c r="M165" s="6"/>
      <c r="N165" s="27"/>
    </row>
    <row r="166" spans="1:14" ht="22.5" x14ac:dyDescent="0.2">
      <c r="A166" s="28"/>
      <c r="B166" s="5"/>
      <c r="C166" s="33"/>
      <c r="D166" s="3"/>
      <c r="E166" s="99"/>
      <c r="F166" s="3"/>
      <c r="G166" s="3"/>
      <c r="H166" s="3"/>
      <c r="I166" s="14"/>
      <c r="J166" s="99"/>
      <c r="K166" s="177"/>
      <c r="L166" s="99"/>
      <c r="M166" s="6"/>
      <c r="N166" s="27"/>
    </row>
    <row r="167" spans="1:14" ht="42" x14ac:dyDescent="0.2">
      <c r="A167" s="28"/>
      <c r="B167" s="5" t="s">
        <v>109</v>
      </c>
      <c r="C167" s="33" t="s">
        <v>315</v>
      </c>
      <c r="D167" s="3" t="s">
        <v>43</v>
      </c>
      <c r="E167" s="3"/>
      <c r="F167" s="3"/>
      <c r="G167" s="3"/>
      <c r="H167" s="3"/>
      <c r="I167" s="14"/>
      <c r="J167" s="99">
        <v>10221.700000000001</v>
      </c>
      <c r="K167" s="177">
        <v>6870.0045700000001</v>
      </c>
      <c r="L167" s="99">
        <f>J167*I167</f>
        <v>0</v>
      </c>
      <c r="M167" s="6"/>
      <c r="N167" s="27"/>
    </row>
    <row r="168" spans="1:14" ht="105" x14ac:dyDescent="0.2">
      <c r="A168" s="28">
        <v>19</v>
      </c>
      <c r="B168" s="5">
        <v>5.22</v>
      </c>
      <c r="C168" s="33" t="s">
        <v>316</v>
      </c>
      <c r="D168" s="8"/>
      <c r="E168" s="8"/>
      <c r="F168" s="8"/>
      <c r="G168" s="8"/>
      <c r="H168" s="8"/>
      <c r="I168" s="14"/>
      <c r="J168" s="99"/>
      <c r="K168" s="177">
        <v>0</v>
      </c>
      <c r="L168" s="99">
        <f>J168*I168</f>
        <v>0</v>
      </c>
      <c r="M168" s="6"/>
      <c r="N168" s="27"/>
    </row>
    <row r="169" spans="1:14" ht="42" x14ac:dyDescent="0.2">
      <c r="A169" s="28"/>
      <c r="B169" s="5" t="s">
        <v>110</v>
      </c>
      <c r="C169" s="33" t="s">
        <v>111</v>
      </c>
      <c r="D169" s="3" t="s">
        <v>112</v>
      </c>
      <c r="E169" s="3"/>
      <c r="F169" s="3"/>
      <c r="G169" s="3"/>
      <c r="H169" s="3" t="s">
        <v>309</v>
      </c>
      <c r="I169" s="35">
        <f>SUM(I170)</f>
        <v>38833.804800000005</v>
      </c>
      <c r="J169" s="99">
        <v>89.65</v>
      </c>
      <c r="K169" s="177">
        <v>90.716835000000003</v>
      </c>
      <c r="L169" s="99">
        <f>J169*I169</f>
        <v>3481450.6003200007</v>
      </c>
      <c r="M169" s="6"/>
      <c r="N169" s="27"/>
    </row>
    <row r="170" spans="1:14" ht="22.5" x14ac:dyDescent="0.2">
      <c r="A170" s="28"/>
      <c r="B170" s="5"/>
      <c r="C170" s="33"/>
      <c r="D170" s="3"/>
      <c r="E170" s="3">
        <v>120</v>
      </c>
      <c r="F170" s="3"/>
      <c r="G170" s="6"/>
      <c r="H170" s="14">
        <f>I127+I107</f>
        <v>323.61504000000002</v>
      </c>
      <c r="I170" s="14">
        <f>PRODUCT(E170:H170)</f>
        <v>38833.804800000005</v>
      </c>
      <c r="J170" s="99"/>
      <c r="K170" s="177"/>
      <c r="L170" s="99"/>
      <c r="M170" s="6"/>
      <c r="N170" s="27"/>
    </row>
    <row r="171" spans="1:14" ht="22.5" x14ac:dyDescent="0.2">
      <c r="A171" s="28"/>
      <c r="B171" s="5"/>
      <c r="C171" s="33"/>
      <c r="D171" s="3"/>
      <c r="E171" s="3"/>
      <c r="F171" s="3"/>
      <c r="G171" s="6"/>
      <c r="H171" s="14"/>
      <c r="I171" s="14"/>
      <c r="J171" s="99"/>
      <c r="K171" s="177"/>
      <c r="L171" s="99"/>
      <c r="M171" s="6"/>
      <c r="N171" s="27"/>
    </row>
    <row r="172" spans="1:14" ht="121.5" x14ac:dyDescent="0.2">
      <c r="A172" s="28"/>
      <c r="B172" s="332">
        <v>4.7</v>
      </c>
      <c r="C172" s="333" t="s">
        <v>115</v>
      </c>
      <c r="D172" s="332"/>
      <c r="E172" s="3"/>
      <c r="F172" s="3"/>
      <c r="G172" s="6"/>
      <c r="H172" s="14"/>
      <c r="I172" s="14"/>
      <c r="J172" s="99"/>
      <c r="K172" s="177"/>
      <c r="L172" s="99"/>
      <c r="M172" s="6"/>
      <c r="N172" s="27"/>
    </row>
    <row r="173" spans="1:14" ht="81" x14ac:dyDescent="0.2">
      <c r="A173" s="28"/>
      <c r="B173" s="332" t="s">
        <v>116</v>
      </c>
      <c r="C173" s="333" t="s">
        <v>117</v>
      </c>
      <c r="D173" s="332" t="s">
        <v>43</v>
      </c>
      <c r="E173" s="3"/>
      <c r="F173" s="3"/>
      <c r="G173" s="6"/>
      <c r="H173" s="14"/>
      <c r="I173" s="14">
        <f>1000*0.2</f>
        <v>200</v>
      </c>
      <c r="J173" s="332">
        <v>15762.45</v>
      </c>
      <c r="K173" s="177"/>
      <c r="L173" s="99">
        <f>J173*I173</f>
        <v>3152490</v>
      </c>
      <c r="M173" s="6"/>
      <c r="N173" s="27"/>
    </row>
    <row r="174" spans="1:14" ht="22.5" x14ac:dyDescent="0.2">
      <c r="A174" s="28"/>
      <c r="B174" s="5"/>
      <c r="C174" s="33"/>
      <c r="D174" s="3"/>
      <c r="E174" s="3"/>
      <c r="F174" s="3"/>
      <c r="G174" s="6"/>
      <c r="H174" s="14"/>
      <c r="I174" s="14"/>
      <c r="J174" s="99"/>
      <c r="K174" s="177"/>
      <c r="L174" s="99"/>
      <c r="M174" s="6"/>
      <c r="N174" s="27"/>
    </row>
    <row r="175" spans="1:14" ht="202.5" x14ac:dyDescent="0.2">
      <c r="A175" s="28">
        <v>20</v>
      </c>
      <c r="B175" s="5">
        <v>13</v>
      </c>
      <c r="C175" s="15" t="s">
        <v>121</v>
      </c>
      <c r="D175" s="3"/>
      <c r="E175" s="3"/>
      <c r="F175" s="3"/>
      <c r="G175" s="3"/>
      <c r="H175" s="3"/>
      <c r="I175" s="14"/>
      <c r="J175" s="99"/>
      <c r="K175" s="177">
        <v>0</v>
      </c>
      <c r="L175" s="99">
        <f>J175*I175</f>
        <v>0</v>
      </c>
      <c r="M175" s="6"/>
      <c r="N175" s="27"/>
    </row>
    <row r="176" spans="1:14" ht="22.5" x14ac:dyDescent="0.2">
      <c r="A176" s="28"/>
      <c r="B176" s="5">
        <v>13.1</v>
      </c>
      <c r="C176" s="33" t="s">
        <v>122</v>
      </c>
      <c r="D176" s="3"/>
      <c r="E176" s="3"/>
      <c r="F176" s="3"/>
      <c r="G176" s="3"/>
      <c r="H176" s="3"/>
      <c r="I176" s="14"/>
      <c r="J176" s="99"/>
      <c r="K176" s="177">
        <v>0</v>
      </c>
      <c r="L176" s="99">
        <f>J176*I176</f>
        <v>0</v>
      </c>
      <c r="M176" s="6"/>
      <c r="N176" s="27"/>
    </row>
    <row r="177" spans="1:14" ht="22.5" x14ac:dyDescent="0.2">
      <c r="A177" s="36"/>
      <c r="B177" s="5" t="s">
        <v>123</v>
      </c>
      <c r="C177" s="33" t="s">
        <v>124</v>
      </c>
      <c r="D177" s="3" t="s">
        <v>73</v>
      </c>
      <c r="E177" s="3"/>
      <c r="F177" s="3"/>
      <c r="G177" s="3"/>
      <c r="H177" s="3" t="s">
        <v>309</v>
      </c>
      <c r="I177" s="14">
        <f>SUM(I178:I200)</f>
        <v>1063.0871999999999</v>
      </c>
      <c r="J177" s="99">
        <v>294.85000000000002</v>
      </c>
      <c r="K177" s="177">
        <v>478.24669999999998</v>
      </c>
      <c r="L177" s="99">
        <f>J177*I177</f>
        <v>313451.26092000003</v>
      </c>
      <c r="M177" s="6"/>
      <c r="N177" s="27"/>
    </row>
    <row r="178" spans="1:14" ht="22.5" x14ac:dyDescent="0.2">
      <c r="A178" s="36"/>
      <c r="B178" s="5"/>
      <c r="C178" s="33"/>
      <c r="D178" s="3"/>
      <c r="E178" s="33"/>
      <c r="F178" s="33"/>
      <c r="G178" s="33"/>
      <c r="H178" s="33"/>
      <c r="I178" s="14"/>
      <c r="J178" s="99"/>
      <c r="K178" s="177"/>
      <c r="L178" s="99"/>
      <c r="M178" s="6"/>
      <c r="N178" s="27"/>
    </row>
    <row r="179" spans="1:14" ht="22.5" x14ac:dyDescent="0.2">
      <c r="A179" s="36"/>
      <c r="B179" s="5"/>
      <c r="C179" s="33" t="str">
        <f>C141</f>
        <v xml:space="preserve">WALL </v>
      </c>
      <c r="D179" s="3"/>
      <c r="E179" s="251">
        <f t="shared" ref="E179:F184" si="31">E141</f>
        <v>2</v>
      </c>
      <c r="F179" s="251">
        <f t="shared" si="31"/>
        <v>22.86</v>
      </c>
      <c r="G179" s="251">
        <v>2</v>
      </c>
      <c r="H179" s="251">
        <f t="shared" ref="H179:H184" si="32">H141</f>
        <v>1.2</v>
      </c>
      <c r="I179" s="14">
        <f t="shared" ref="I179:I184" si="33">PRODUCT(E179:H179)</f>
        <v>109.72799999999999</v>
      </c>
      <c r="J179" s="99"/>
      <c r="K179" s="177"/>
      <c r="L179" s="99"/>
      <c r="M179" s="6"/>
      <c r="N179" s="27"/>
    </row>
    <row r="180" spans="1:14" ht="22.5" x14ac:dyDescent="0.2">
      <c r="A180" s="36"/>
      <c r="B180" s="5"/>
      <c r="C180" s="33"/>
      <c r="D180" s="3"/>
      <c r="E180" s="251">
        <f t="shared" si="31"/>
        <v>7</v>
      </c>
      <c r="F180" s="251">
        <f t="shared" si="31"/>
        <v>6.66</v>
      </c>
      <c r="G180" s="251">
        <v>2</v>
      </c>
      <c r="H180" s="251">
        <f t="shared" si="32"/>
        <v>1.2</v>
      </c>
      <c r="I180" s="14">
        <f t="shared" si="33"/>
        <v>111.88800000000001</v>
      </c>
      <c r="J180" s="99"/>
      <c r="K180" s="177"/>
      <c r="L180" s="99"/>
      <c r="M180" s="6"/>
      <c r="N180" s="27"/>
    </row>
    <row r="181" spans="1:14" ht="22.5" x14ac:dyDescent="0.2">
      <c r="A181" s="36"/>
      <c r="B181" s="5"/>
      <c r="C181" s="33"/>
      <c r="D181" s="3"/>
      <c r="E181" s="251">
        <f t="shared" si="31"/>
        <v>2</v>
      </c>
      <c r="F181" s="251">
        <f t="shared" si="31"/>
        <v>15.24</v>
      </c>
      <c r="G181" s="251">
        <v>2</v>
      </c>
      <c r="H181" s="251">
        <f t="shared" si="32"/>
        <v>1.2</v>
      </c>
      <c r="I181" s="14">
        <f t="shared" si="33"/>
        <v>73.152000000000001</v>
      </c>
      <c r="J181" s="99"/>
      <c r="K181" s="177"/>
      <c r="L181" s="99"/>
      <c r="M181" s="6"/>
      <c r="N181" s="27"/>
    </row>
    <row r="182" spans="1:14" ht="22.5" x14ac:dyDescent="0.2">
      <c r="A182" s="36"/>
      <c r="B182" s="5"/>
      <c r="C182" s="33"/>
      <c r="D182" s="3"/>
      <c r="E182" s="251">
        <f t="shared" si="31"/>
        <v>5</v>
      </c>
      <c r="F182" s="251">
        <f t="shared" si="31"/>
        <v>6.66</v>
      </c>
      <c r="G182" s="251">
        <v>2</v>
      </c>
      <c r="H182" s="251">
        <f t="shared" si="32"/>
        <v>1.2</v>
      </c>
      <c r="I182" s="14">
        <f t="shared" si="33"/>
        <v>79.919999999999987</v>
      </c>
      <c r="J182" s="99"/>
      <c r="K182" s="177"/>
      <c r="L182" s="99"/>
      <c r="M182" s="6"/>
      <c r="N182" s="27"/>
    </row>
    <row r="183" spans="1:14" ht="22.5" x14ac:dyDescent="0.2">
      <c r="A183" s="36"/>
      <c r="B183" s="5"/>
      <c r="C183" s="33"/>
      <c r="D183" s="3"/>
      <c r="E183" s="251">
        <f t="shared" si="31"/>
        <v>2</v>
      </c>
      <c r="F183" s="251">
        <f t="shared" si="31"/>
        <v>7.62</v>
      </c>
      <c r="G183" s="251">
        <v>2</v>
      </c>
      <c r="H183" s="251">
        <f t="shared" si="32"/>
        <v>1.2</v>
      </c>
      <c r="I183" s="14">
        <f t="shared" si="33"/>
        <v>36.576000000000001</v>
      </c>
      <c r="J183" s="99"/>
      <c r="K183" s="177"/>
      <c r="L183" s="99"/>
      <c r="M183" s="6"/>
      <c r="N183" s="27"/>
    </row>
    <row r="184" spans="1:14" ht="22.5" x14ac:dyDescent="0.2">
      <c r="A184" s="36"/>
      <c r="B184" s="5"/>
      <c r="C184" s="33"/>
      <c r="D184" s="3"/>
      <c r="E184" s="251">
        <f t="shared" si="31"/>
        <v>3</v>
      </c>
      <c r="F184" s="251">
        <f t="shared" si="31"/>
        <v>6.66</v>
      </c>
      <c r="G184" s="251">
        <v>2</v>
      </c>
      <c r="H184" s="251">
        <f t="shared" si="32"/>
        <v>1.2</v>
      </c>
      <c r="I184" s="14">
        <f t="shared" si="33"/>
        <v>47.951999999999998</v>
      </c>
      <c r="J184" s="99"/>
      <c r="K184" s="177"/>
      <c r="L184" s="99"/>
      <c r="M184" s="6"/>
      <c r="N184" s="27"/>
    </row>
    <row r="185" spans="1:14" ht="22.5" x14ac:dyDescent="0.2">
      <c r="A185" s="36"/>
      <c r="B185" s="5"/>
      <c r="C185" s="33"/>
      <c r="D185" s="3"/>
      <c r="E185" s="251"/>
      <c r="F185" s="251"/>
      <c r="G185" s="251"/>
      <c r="H185" s="251"/>
      <c r="I185" s="14"/>
      <c r="J185" s="99"/>
      <c r="K185" s="177"/>
      <c r="L185" s="99"/>
      <c r="M185" s="6"/>
      <c r="N185" s="27"/>
    </row>
    <row r="186" spans="1:14" ht="22.5" x14ac:dyDescent="0.2">
      <c r="A186" s="36"/>
      <c r="B186" s="5"/>
      <c r="C186" s="33"/>
      <c r="D186" s="3"/>
      <c r="E186" s="251">
        <f t="shared" ref="E186:F191" si="34">E153</f>
        <v>2</v>
      </c>
      <c r="F186" s="251">
        <f t="shared" si="34"/>
        <v>22.86</v>
      </c>
      <c r="G186" s="251">
        <v>2</v>
      </c>
      <c r="H186" s="251">
        <f t="shared" ref="H186:H191" si="35">H153</f>
        <v>1</v>
      </c>
      <c r="I186" s="14">
        <f t="shared" ref="I186:I191" si="36">PRODUCT(E186:H186)</f>
        <v>91.44</v>
      </c>
      <c r="J186" s="99"/>
      <c r="K186" s="177"/>
      <c r="L186" s="99"/>
      <c r="M186" s="6"/>
      <c r="N186" s="27"/>
    </row>
    <row r="187" spans="1:14" ht="22.5" x14ac:dyDescent="0.2">
      <c r="A187" s="36"/>
      <c r="B187" s="5"/>
      <c r="C187" s="33"/>
      <c r="D187" s="3"/>
      <c r="E187" s="251">
        <f t="shared" si="34"/>
        <v>2</v>
      </c>
      <c r="F187" s="251">
        <f t="shared" si="34"/>
        <v>15.24</v>
      </c>
      <c r="G187" s="251">
        <v>2</v>
      </c>
      <c r="H187" s="251">
        <f t="shared" si="35"/>
        <v>1</v>
      </c>
      <c r="I187" s="14">
        <f t="shared" si="36"/>
        <v>60.96</v>
      </c>
      <c r="J187" s="99"/>
      <c r="K187" s="177"/>
      <c r="L187" s="99"/>
      <c r="M187" s="6"/>
      <c r="N187" s="27"/>
    </row>
    <row r="188" spans="1:14" ht="22.5" x14ac:dyDescent="0.2">
      <c r="A188" s="36"/>
      <c r="B188" s="5"/>
      <c r="C188" s="33"/>
      <c r="D188" s="3"/>
      <c r="E188" s="251">
        <f t="shared" si="34"/>
        <v>2</v>
      </c>
      <c r="F188" s="251">
        <f t="shared" si="34"/>
        <v>7.62</v>
      </c>
      <c r="G188" s="251">
        <v>2</v>
      </c>
      <c r="H188" s="251">
        <f t="shared" si="35"/>
        <v>1</v>
      </c>
      <c r="I188" s="14">
        <f t="shared" si="36"/>
        <v>30.48</v>
      </c>
      <c r="J188" s="99"/>
      <c r="K188" s="177"/>
      <c r="L188" s="99"/>
      <c r="M188" s="6"/>
      <c r="N188" s="27"/>
    </row>
    <row r="189" spans="1:14" ht="22.5" x14ac:dyDescent="0.2">
      <c r="A189" s="36"/>
      <c r="B189" s="5"/>
      <c r="C189" s="33"/>
      <c r="D189" s="3"/>
      <c r="E189" s="251">
        <f t="shared" si="34"/>
        <v>2</v>
      </c>
      <c r="F189" s="251">
        <f t="shared" si="34"/>
        <v>6.66</v>
      </c>
      <c r="G189" s="251">
        <v>2</v>
      </c>
      <c r="H189" s="251">
        <f t="shared" si="35"/>
        <v>1</v>
      </c>
      <c r="I189" s="14">
        <f t="shared" si="36"/>
        <v>26.64</v>
      </c>
      <c r="J189" s="99"/>
      <c r="K189" s="177"/>
      <c r="L189" s="99"/>
      <c r="M189" s="6"/>
      <c r="N189" s="27"/>
    </row>
    <row r="190" spans="1:14" ht="22.5" x14ac:dyDescent="0.2">
      <c r="A190" s="36"/>
      <c r="B190" s="5"/>
      <c r="C190" s="33"/>
      <c r="D190" s="3"/>
      <c r="E190" s="251">
        <f t="shared" si="34"/>
        <v>2</v>
      </c>
      <c r="F190" s="251">
        <f t="shared" si="34"/>
        <v>6.66</v>
      </c>
      <c r="G190" s="251">
        <v>2</v>
      </c>
      <c r="H190" s="251">
        <f t="shared" si="35"/>
        <v>1</v>
      </c>
      <c r="I190" s="14">
        <f t="shared" si="36"/>
        <v>26.64</v>
      </c>
      <c r="J190" s="99"/>
      <c r="K190" s="177"/>
      <c r="L190" s="99"/>
      <c r="M190" s="6"/>
      <c r="N190" s="27"/>
    </row>
    <row r="191" spans="1:14" ht="22.5" x14ac:dyDescent="0.2">
      <c r="A191" s="36"/>
      <c r="B191" s="5"/>
      <c r="C191" s="33"/>
      <c r="D191" s="3"/>
      <c r="E191" s="251">
        <f t="shared" si="34"/>
        <v>2</v>
      </c>
      <c r="F191" s="251">
        <f t="shared" si="34"/>
        <v>6.66</v>
      </c>
      <c r="G191" s="251">
        <v>2</v>
      </c>
      <c r="H191" s="251">
        <f t="shared" si="35"/>
        <v>1</v>
      </c>
      <c r="I191" s="14">
        <f t="shared" si="36"/>
        <v>26.64</v>
      </c>
      <c r="J191" s="99"/>
      <c r="K191" s="177"/>
      <c r="L191" s="99"/>
      <c r="M191" s="6"/>
      <c r="N191" s="27"/>
    </row>
    <row r="192" spans="1:14" ht="22.5" x14ac:dyDescent="0.2">
      <c r="A192" s="36"/>
      <c r="B192" s="5"/>
      <c r="C192" s="33"/>
      <c r="D192" s="3"/>
      <c r="E192" s="251"/>
      <c r="F192" s="251"/>
      <c r="G192" s="251"/>
      <c r="H192" s="251"/>
      <c r="I192" s="14"/>
      <c r="J192" s="99"/>
      <c r="K192" s="177"/>
      <c r="L192" s="99"/>
      <c r="M192" s="6"/>
      <c r="N192" s="27"/>
    </row>
    <row r="193" spans="1:14" ht="22.5" x14ac:dyDescent="0.2">
      <c r="A193" s="36"/>
      <c r="B193" s="5"/>
      <c r="C193" s="33" t="s">
        <v>403</v>
      </c>
      <c r="D193" s="3"/>
      <c r="F193" s="251">
        <f t="shared" ref="F193:G195" si="37">F160</f>
        <v>22.86</v>
      </c>
      <c r="G193" s="251">
        <f t="shared" si="37"/>
        <v>0.8</v>
      </c>
      <c r="H193" s="251"/>
      <c r="I193" s="14">
        <f>PRODUCT(E193:H193)</f>
        <v>18.288</v>
      </c>
      <c r="J193" s="99"/>
      <c r="K193" s="177"/>
      <c r="L193" s="99"/>
      <c r="M193" s="6"/>
      <c r="N193" s="27"/>
    </row>
    <row r="194" spans="1:14" ht="22.5" x14ac:dyDescent="0.2">
      <c r="A194" s="36"/>
      <c r="B194" s="5"/>
      <c r="C194" s="33"/>
      <c r="D194" s="3"/>
      <c r="E194" s="251"/>
      <c r="F194" s="251">
        <f t="shared" si="37"/>
        <v>15.24</v>
      </c>
      <c r="G194" s="251">
        <f t="shared" si="37"/>
        <v>0.8</v>
      </c>
      <c r="H194" s="251"/>
      <c r="I194" s="14">
        <f>PRODUCT(E194:H194)</f>
        <v>12.192</v>
      </c>
      <c r="J194" s="99"/>
      <c r="K194" s="177"/>
      <c r="L194" s="99"/>
      <c r="M194" s="6"/>
      <c r="N194" s="27"/>
    </row>
    <row r="195" spans="1:14" ht="22.5" x14ac:dyDescent="0.2">
      <c r="A195" s="36"/>
      <c r="B195" s="5"/>
      <c r="C195" s="33"/>
      <c r="D195" s="3"/>
      <c r="E195" s="251"/>
      <c r="F195" s="251">
        <f t="shared" si="37"/>
        <v>7.62</v>
      </c>
      <c r="G195" s="251">
        <f t="shared" si="37"/>
        <v>0.8</v>
      </c>
      <c r="H195" s="251"/>
      <c r="I195" s="14">
        <f>PRODUCT(E195:H195)</f>
        <v>6.0960000000000001</v>
      </c>
      <c r="J195" s="99"/>
      <c r="K195" s="177"/>
      <c r="L195" s="99"/>
      <c r="M195" s="6"/>
      <c r="N195" s="27"/>
    </row>
    <row r="196" spans="1:14" ht="22.5" x14ac:dyDescent="0.2">
      <c r="A196" s="36"/>
      <c r="B196" s="5"/>
      <c r="C196" s="33"/>
      <c r="D196" s="3"/>
      <c r="E196" s="251"/>
      <c r="F196" s="251"/>
      <c r="G196" s="251"/>
      <c r="H196" s="251"/>
      <c r="I196" s="14"/>
      <c r="J196" s="99"/>
      <c r="K196" s="177"/>
      <c r="L196" s="99"/>
      <c r="M196" s="6"/>
      <c r="N196" s="27"/>
    </row>
    <row r="197" spans="1:14" ht="22.5" x14ac:dyDescent="0.2">
      <c r="A197" s="36"/>
      <c r="B197" s="5"/>
      <c r="C197" s="33"/>
      <c r="D197" s="3"/>
      <c r="E197" s="251"/>
      <c r="F197" s="251">
        <f t="shared" ref="F197:G199" si="38">F148</f>
        <v>22.86</v>
      </c>
      <c r="G197" s="251">
        <f t="shared" si="38"/>
        <v>6.66</v>
      </c>
      <c r="H197" s="251"/>
      <c r="I197" s="14">
        <f>PRODUCT(E197:H197)</f>
        <v>152.24760000000001</v>
      </c>
      <c r="J197" s="99"/>
      <c r="K197" s="177"/>
      <c r="L197" s="99"/>
      <c r="M197" s="6"/>
      <c r="N197" s="27"/>
    </row>
    <row r="198" spans="1:14" ht="22.5" x14ac:dyDescent="0.2">
      <c r="A198" s="36"/>
      <c r="B198" s="5"/>
      <c r="C198" s="33"/>
      <c r="D198" s="3"/>
      <c r="E198" s="251"/>
      <c r="F198" s="251">
        <f t="shared" si="38"/>
        <v>15.24</v>
      </c>
      <c r="G198" s="251">
        <f t="shared" si="38"/>
        <v>6.66</v>
      </c>
      <c r="H198" s="251"/>
      <c r="I198" s="14">
        <f>PRODUCT(E198:H198)</f>
        <v>101.4984</v>
      </c>
      <c r="J198" s="99"/>
      <c r="K198" s="177"/>
      <c r="L198" s="99"/>
      <c r="M198" s="6"/>
      <c r="N198" s="27"/>
    </row>
    <row r="199" spans="1:14" ht="22.5" x14ac:dyDescent="0.2">
      <c r="A199" s="36"/>
      <c r="B199" s="5"/>
      <c r="C199" s="33"/>
      <c r="D199" s="3"/>
      <c r="E199" s="251"/>
      <c r="F199" s="251">
        <f t="shared" si="38"/>
        <v>7.62</v>
      </c>
      <c r="G199" s="251">
        <f t="shared" si="38"/>
        <v>6.66</v>
      </c>
      <c r="H199" s="251"/>
      <c r="I199" s="14">
        <f>PRODUCT(E199:H199)</f>
        <v>50.749200000000002</v>
      </c>
      <c r="J199" s="99"/>
      <c r="K199" s="177"/>
      <c r="L199" s="99"/>
      <c r="M199" s="6"/>
      <c r="N199" s="27"/>
    </row>
    <row r="200" spans="1:14" ht="22.5" x14ac:dyDescent="0.2">
      <c r="A200" s="36"/>
      <c r="B200" s="5"/>
      <c r="C200" s="33"/>
      <c r="D200" s="3"/>
      <c r="E200" s="251"/>
      <c r="F200" s="251"/>
      <c r="G200" s="251"/>
      <c r="H200" s="251"/>
      <c r="I200" s="14"/>
      <c r="J200" s="99"/>
      <c r="K200" s="177"/>
      <c r="L200" s="99"/>
      <c r="M200" s="6"/>
      <c r="N200" s="27"/>
    </row>
    <row r="201" spans="1:14" ht="182.25" x14ac:dyDescent="0.2">
      <c r="A201" s="36"/>
      <c r="B201" s="332"/>
      <c r="C201" s="334" t="s">
        <v>125</v>
      </c>
      <c r="D201" s="332"/>
      <c r="E201" s="251"/>
      <c r="F201" s="251"/>
      <c r="G201" s="251"/>
      <c r="H201" s="251"/>
      <c r="I201" s="14"/>
      <c r="J201" s="99"/>
      <c r="K201" s="177"/>
      <c r="L201" s="99"/>
      <c r="M201" s="6"/>
      <c r="N201" s="27"/>
    </row>
    <row r="202" spans="1:14" ht="22.5" x14ac:dyDescent="0.2">
      <c r="A202" s="36"/>
      <c r="B202" s="332">
        <v>13.3</v>
      </c>
      <c r="C202" s="335" t="s">
        <v>126</v>
      </c>
      <c r="D202" s="332"/>
      <c r="E202" s="251"/>
      <c r="F202" s="251"/>
      <c r="G202" s="251"/>
      <c r="H202" s="251"/>
      <c r="I202" s="14"/>
      <c r="J202" s="99"/>
      <c r="K202" s="177"/>
      <c r="L202" s="99"/>
      <c r="M202" s="6"/>
      <c r="N202" s="27"/>
    </row>
    <row r="203" spans="1:14" ht="22.5" x14ac:dyDescent="0.2">
      <c r="A203" s="36"/>
      <c r="B203" s="332" t="s">
        <v>127</v>
      </c>
      <c r="C203" s="333" t="s">
        <v>124</v>
      </c>
      <c r="D203" s="332" t="s">
        <v>73</v>
      </c>
      <c r="E203" s="251"/>
      <c r="F203" s="251"/>
      <c r="G203" s="251"/>
      <c r="H203" s="251"/>
      <c r="I203" s="14">
        <v>600</v>
      </c>
      <c r="J203" s="99">
        <v>402.15</v>
      </c>
      <c r="K203" s="177"/>
      <c r="L203" s="99">
        <f>J203*I203</f>
        <v>241290</v>
      </c>
      <c r="M203" s="6"/>
      <c r="N203" s="27"/>
    </row>
    <row r="204" spans="1:14" ht="22.5" x14ac:dyDescent="0.2">
      <c r="A204" s="36"/>
      <c r="B204" s="5"/>
      <c r="C204" s="33"/>
      <c r="D204" s="3"/>
      <c r="E204" s="251"/>
      <c r="F204" s="251"/>
      <c r="G204" s="251"/>
      <c r="H204" s="251"/>
      <c r="I204" s="14"/>
      <c r="J204" s="99"/>
      <c r="K204" s="177"/>
      <c r="L204" s="99"/>
      <c r="M204" s="6"/>
      <c r="N204" s="27"/>
    </row>
    <row r="205" spans="1:14" ht="105" x14ac:dyDescent="0.2">
      <c r="A205" s="28">
        <v>21</v>
      </c>
      <c r="B205" s="5" t="s">
        <v>134</v>
      </c>
      <c r="C205" s="33" t="s">
        <v>404</v>
      </c>
      <c r="D205" s="3"/>
      <c r="E205" s="3"/>
      <c r="F205" s="3"/>
      <c r="G205" s="3"/>
      <c r="H205" s="3"/>
      <c r="I205" s="14"/>
      <c r="J205" s="99"/>
      <c r="K205" s="177">
        <v>0</v>
      </c>
      <c r="L205" s="99">
        <f t="shared" ref="L205:L216" si="39">J205*I205</f>
        <v>0</v>
      </c>
      <c r="M205" s="6"/>
      <c r="N205" s="27"/>
    </row>
    <row r="206" spans="1:14" ht="63" x14ac:dyDescent="0.2">
      <c r="A206" s="28"/>
      <c r="B206" s="5" t="s">
        <v>136</v>
      </c>
      <c r="C206" s="33" t="s">
        <v>405</v>
      </c>
      <c r="D206" s="3" t="s">
        <v>73</v>
      </c>
      <c r="E206" s="3"/>
      <c r="F206" s="3"/>
      <c r="G206" s="3"/>
      <c r="H206" s="3"/>
      <c r="I206" s="14">
        <f>I177</f>
        <v>1063.0871999999999</v>
      </c>
      <c r="J206" s="99">
        <v>154.44999999999999</v>
      </c>
      <c r="K206" s="177">
        <v>302.39765499999999</v>
      </c>
      <c r="L206" s="99">
        <f t="shared" si="39"/>
        <v>164193.81803999998</v>
      </c>
      <c r="M206" s="6"/>
      <c r="N206" s="27"/>
    </row>
    <row r="207" spans="1:14" ht="63" x14ac:dyDescent="0.2">
      <c r="A207" s="28">
        <v>22</v>
      </c>
      <c r="B207" s="38">
        <v>13.6</v>
      </c>
      <c r="C207" s="33" t="s">
        <v>406</v>
      </c>
      <c r="D207" s="3" t="s">
        <v>73</v>
      </c>
      <c r="E207" s="3"/>
      <c r="F207" s="3"/>
      <c r="G207" s="3"/>
      <c r="H207" s="3"/>
      <c r="I207" s="14"/>
      <c r="J207" s="99"/>
      <c r="K207" s="177">
        <v>0</v>
      </c>
      <c r="L207" s="99">
        <f t="shared" si="39"/>
        <v>0</v>
      </c>
      <c r="M207" s="6"/>
      <c r="N207" s="27"/>
    </row>
    <row r="208" spans="1:14" ht="22.5" x14ac:dyDescent="0.2">
      <c r="A208" s="28"/>
      <c r="B208" s="38" t="s">
        <v>141</v>
      </c>
      <c r="C208" s="33" t="s">
        <v>142</v>
      </c>
      <c r="D208" s="3" t="s">
        <v>73</v>
      </c>
      <c r="E208" s="3"/>
      <c r="F208" s="3"/>
      <c r="G208" s="3"/>
      <c r="H208" s="3"/>
      <c r="I208" s="14"/>
      <c r="J208" s="99">
        <v>137.85</v>
      </c>
      <c r="K208" s="177">
        <v>246.40687500000001</v>
      </c>
      <c r="L208" s="99">
        <f t="shared" si="39"/>
        <v>0</v>
      </c>
      <c r="M208" s="6"/>
      <c r="N208" s="27"/>
    </row>
    <row r="209" spans="1:14" ht="273" x14ac:dyDescent="0.2">
      <c r="A209" s="28">
        <v>23</v>
      </c>
      <c r="B209" s="39">
        <v>11.46</v>
      </c>
      <c r="C209" s="33" t="s">
        <v>407</v>
      </c>
      <c r="D209" s="3"/>
      <c r="E209" s="3"/>
      <c r="F209" s="3"/>
      <c r="G209" s="3"/>
      <c r="H209" s="3"/>
      <c r="I209" s="14"/>
      <c r="J209" s="99"/>
      <c r="K209" s="177"/>
      <c r="L209" s="99">
        <f t="shared" si="39"/>
        <v>0</v>
      </c>
      <c r="M209" s="6"/>
      <c r="N209" s="27"/>
    </row>
    <row r="210" spans="1:14" ht="22.5" x14ac:dyDescent="0.2">
      <c r="A210" s="28"/>
      <c r="B210" s="39" t="s">
        <v>166</v>
      </c>
      <c r="C210" s="33" t="s">
        <v>167</v>
      </c>
      <c r="D210" s="3" t="s">
        <v>73</v>
      </c>
      <c r="E210" s="3"/>
      <c r="F210" s="3"/>
      <c r="G210" s="3"/>
      <c r="H210" s="3"/>
      <c r="I210" s="14"/>
      <c r="J210" s="99">
        <v>1466.5</v>
      </c>
      <c r="K210" s="177">
        <v>1584.84655</v>
      </c>
      <c r="L210" s="99">
        <f t="shared" si="39"/>
        <v>0</v>
      </c>
      <c r="M210" s="6"/>
      <c r="N210" s="27"/>
    </row>
    <row r="211" spans="1:14" ht="22.5" x14ac:dyDescent="0.2">
      <c r="A211" s="28"/>
      <c r="B211" s="39"/>
      <c r="C211" s="33"/>
      <c r="D211" s="3"/>
      <c r="E211" s="14"/>
      <c r="F211" s="14"/>
      <c r="G211" s="3"/>
      <c r="H211" s="14"/>
      <c r="I211" s="14"/>
      <c r="J211" s="99"/>
      <c r="K211" s="177"/>
      <c r="L211" s="99">
        <f t="shared" si="39"/>
        <v>0</v>
      </c>
      <c r="M211" s="6"/>
      <c r="N211" s="27"/>
    </row>
    <row r="212" spans="1:14" ht="22.5" x14ac:dyDescent="0.2">
      <c r="A212" s="28">
        <v>24</v>
      </c>
      <c r="B212" s="211">
        <v>7239</v>
      </c>
      <c r="C212" s="33" t="s">
        <v>203</v>
      </c>
      <c r="D212" s="3" t="s">
        <v>204</v>
      </c>
      <c r="E212" s="14"/>
      <c r="F212" s="14"/>
      <c r="G212" s="3"/>
      <c r="H212" s="14"/>
      <c r="I212" s="14"/>
      <c r="J212" s="99">
        <v>215</v>
      </c>
      <c r="K212" s="177"/>
      <c r="L212" s="99">
        <f t="shared" si="39"/>
        <v>0</v>
      </c>
      <c r="M212" s="6"/>
      <c r="N212" s="27"/>
    </row>
    <row r="213" spans="1:14" ht="22.5" x14ac:dyDescent="0.2">
      <c r="A213" s="28"/>
      <c r="B213" s="39"/>
      <c r="C213" s="33"/>
      <c r="D213" s="3"/>
      <c r="E213" s="3"/>
      <c r="F213" s="3"/>
      <c r="G213" s="3"/>
      <c r="H213" s="3"/>
      <c r="I213" s="14"/>
      <c r="J213" s="99"/>
      <c r="K213" s="177"/>
      <c r="L213" s="99">
        <f t="shared" si="39"/>
        <v>0</v>
      </c>
      <c r="M213" s="6"/>
      <c r="N213" s="27"/>
    </row>
    <row r="214" spans="1:14" x14ac:dyDescent="0.2">
      <c r="A214" s="28">
        <v>25</v>
      </c>
      <c r="B214" s="139">
        <v>1034</v>
      </c>
      <c r="C214" s="140" t="s">
        <v>205</v>
      </c>
      <c r="D214" s="141" t="s">
        <v>206</v>
      </c>
      <c r="E214" s="141"/>
      <c r="F214" s="142"/>
      <c r="G214" s="3"/>
      <c r="H214" s="3"/>
      <c r="I214" s="14"/>
      <c r="J214" s="179">
        <v>5200</v>
      </c>
      <c r="K214" s="177"/>
      <c r="L214" s="99">
        <f t="shared" si="39"/>
        <v>0</v>
      </c>
      <c r="M214" s="6"/>
      <c r="N214" s="27"/>
    </row>
    <row r="215" spans="1:14" ht="147" x14ac:dyDescent="0.2">
      <c r="A215" s="28"/>
      <c r="B215" s="72">
        <v>26.35</v>
      </c>
      <c r="C215" s="33" t="s">
        <v>148</v>
      </c>
      <c r="E215" s="141"/>
      <c r="F215" s="142"/>
      <c r="G215" s="3"/>
      <c r="H215" s="3"/>
      <c r="I215" s="14"/>
      <c r="J215" s="179"/>
      <c r="K215" s="177"/>
      <c r="L215" s="99">
        <f t="shared" si="39"/>
        <v>0</v>
      </c>
      <c r="M215" s="6"/>
      <c r="N215" s="27"/>
    </row>
    <row r="216" spans="1:14" ht="42" x14ac:dyDescent="0.2">
      <c r="A216" s="28"/>
      <c r="B216" s="96" t="s">
        <v>149</v>
      </c>
      <c r="C216" s="33" t="s">
        <v>150</v>
      </c>
      <c r="D216" s="3" t="s">
        <v>112</v>
      </c>
      <c r="E216" s="141"/>
      <c r="F216" s="142"/>
      <c r="G216" s="3"/>
      <c r="H216" s="3"/>
      <c r="I216" s="94">
        <v>150</v>
      </c>
      <c r="J216" s="14">
        <v>793.25</v>
      </c>
      <c r="K216" s="14">
        <f>J216*I216</f>
        <v>118987.5</v>
      </c>
      <c r="L216" s="99">
        <f t="shared" si="39"/>
        <v>118987.5</v>
      </c>
      <c r="M216" s="6"/>
      <c r="N216" s="27"/>
    </row>
    <row r="217" spans="1:14" x14ac:dyDescent="0.2">
      <c r="A217" s="28"/>
      <c r="B217" s="139"/>
      <c r="C217" s="140"/>
      <c r="D217" s="141"/>
      <c r="E217" s="141"/>
      <c r="F217" s="142"/>
      <c r="G217" s="3"/>
      <c r="H217" s="3"/>
      <c r="I217" s="14"/>
      <c r="J217" s="179"/>
      <c r="K217" s="177"/>
      <c r="L217" s="99"/>
      <c r="M217" s="6"/>
      <c r="N217" s="27"/>
    </row>
    <row r="218" spans="1:14" x14ac:dyDescent="0.2">
      <c r="A218" s="28"/>
      <c r="B218" s="139"/>
      <c r="C218" s="140"/>
      <c r="D218" s="141"/>
      <c r="E218" s="141"/>
      <c r="F218" s="142"/>
      <c r="G218" s="3"/>
      <c r="H218" s="3"/>
      <c r="I218" s="14"/>
      <c r="J218" s="179"/>
      <c r="K218" s="177"/>
      <c r="L218" s="99"/>
      <c r="M218" s="6"/>
      <c r="N218" s="27"/>
    </row>
    <row r="219" spans="1:14" x14ac:dyDescent="0.2">
      <c r="A219" s="28"/>
      <c r="B219" s="139"/>
      <c r="C219" s="140"/>
      <c r="D219" s="141"/>
      <c r="E219" s="141"/>
      <c r="F219" s="142"/>
      <c r="G219" s="3"/>
      <c r="H219" s="3"/>
      <c r="I219" s="14"/>
      <c r="J219" s="179"/>
      <c r="K219" s="177"/>
      <c r="L219" s="99"/>
      <c r="M219" s="6"/>
      <c r="N219" s="27"/>
    </row>
    <row r="220" spans="1:14" x14ac:dyDescent="0.2">
      <c r="A220" s="28"/>
      <c r="B220" s="139"/>
      <c r="C220" s="140"/>
      <c r="D220" s="141"/>
      <c r="E220" s="141"/>
      <c r="F220" s="142"/>
      <c r="G220" s="3"/>
      <c r="H220" s="3"/>
      <c r="I220" s="14"/>
      <c r="J220" s="179"/>
      <c r="K220" s="177"/>
      <c r="L220" s="99"/>
      <c r="M220" s="6"/>
      <c r="N220" s="27"/>
    </row>
    <row r="221" spans="1:14" x14ac:dyDescent="0.2">
      <c r="A221" s="28"/>
      <c r="B221" s="139"/>
      <c r="C221" s="140"/>
      <c r="D221" s="141"/>
      <c r="E221" s="141"/>
      <c r="F221" s="142"/>
      <c r="G221" s="3"/>
      <c r="H221" s="3"/>
      <c r="I221" s="14"/>
      <c r="J221" s="179"/>
      <c r="K221" s="177"/>
      <c r="L221" s="99"/>
      <c r="M221" s="6"/>
      <c r="N221" s="27"/>
    </row>
    <row r="222" spans="1:14" x14ac:dyDescent="0.2">
      <c r="A222" s="28"/>
      <c r="B222" s="139"/>
      <c r="C222" s="140"/>
      <c r="D222" s="141"/>
      <c r="E222" s="141"/>
      <c r="F222" s="142"/>
      <c r="G222" s="3"/>
      <c r="H222" s="3"/>
      <c r="I222" s="14"/>
      <c r="J222" s="179"/>
      <c r="K222" s="177"/>
      <c r="L222" s="99"/>
      <c r="M222" s="6"/>
      <c r="N222" s="27"/>
    </row>
    <row r="223" spans="1:14" ht="20.25" x14ac:dyDescent="0.3">
      <c r="A223" s="556" t="s">
        <v>336</v>
      </c>
      <c r="B223" s="557"/>
      <c r="C223" s="557"/>
      <c r="D223" s="557"/>
      <c r="E223" s="557"/>
      <c r="F223" s="557"/>
      <c r="G223" s="557"/>
      <c r="H223" s="557"/>
      <c r="I223" s="557"/>
      <c r="J223" s="557"/>
      <c r="K223" s="180"/>
      <c r="L223" s="99">
        <f>SUM(L7:L218)</f>
        <v>12345014.469036</v>
      </c>
      <c r="M223" s="48"/>
      <c r="N223" s="27"/>
    </row>
    <row r="224" spans="1:14" x14ac:dyDescent="0.2">
      <c r="A224" s="49"/>
      <c r="B224" s="50"/>
      <c r="C224" s="51"/>
      <c r="D224" s="50"/>
      <c r="E224" s="50"/>
      <c r="F224" s="50"/>
      <c r="G224" s="50"/>
      <c r="H224" s="50"/>
      <c r="I224" s="52"/>
      <c r="J224" s="171"/>
      <c r="K224" s="181"/>
      <c r="L224" s="165"/>
      <c r="M224" s="6"/>
      <c r="N224" s="53"/>
    </row>
    <row r="225" spans="1:14" x14ac:dyDescent="0.2">
      <c r="A225" s="54"/>
      <c r="N225" s="57"/>
    </row>
    <row r="226" spans="1:14" x14ac:dyDescent="0.2">
      <c r="A226" s="54"/>
      <c r="N226" s="57"/>
    </row>
    <row r="227" spans="1:14" x14ac:dyDescent="0.2">
      <c r="A227" s="54"/>
      <c r="N227" s="57"/>
    </row>
    <row r="228" spans="1:14" x14ac:dyDescent="0.2">
      <c r="A228" s="54"/>
      <c r="N228" s="57"/>
    </row>
    <row r="229" spans="1:14" x14ac:dyDescent="0.2">
      <c r="A229" s="54"/>
      <c r="N229" s="57"/>
    </row>
    <row r="230" spans="1:14" x14ac:dyDescent="0.2">
      <c r="A230" s="54"/>
      <c r="N230" s="57"/>
    </row>
    <row r="231" spans="1:14" x14ac:dyDescent="0.2">
      <c r="A231" s="54"/>
      <c r="N231" s="57"/>
    </row>
    <row r="232" spans="1:14" x14ac:dyDescent="0.2">
      <c r="A232" s="54"/>
      <c r="N232" s="57"/>
    </row>
    <row r="233" spans="1:14" x14ac:dyDescent="0.2">
      <c r="A233" s="54"/>
      <c r="N233" s="57"/>
    </row>
    <row r="234" spans="1:14" x14ac:dyDescent="0.2">
      <c r="A234" s="58"/>
      <c r="B234" s="59"/>
      <c r="C234" s="60"/>
      <c r="D234" s="59"/>
      <c r="E234" s="59"/>
      <c r="F234" s="59"/>
      <c r="G234" s="59"/>
      <c r="H234" s="59"/>
      <c r="I234" s="61"/>
      <c r="J234" s="167"/>
      <c r="K234" s="183"/>
      <c r="L234" s="167"/>
      <c r="M234" s="59"/>
      <c r="N234" s="62"/>
    </row>
  </sheetData>
  <protectedRanges>
    <protectedRange sqref="N2" name="Range1"/>
  </protectedRanges>
  <autoFilter ref="A6:N11"/>
  <mergeCells count="7">
    <mergeCell ref="A4:N4"/>
    <mergeCell ref="A223:J223"/>
    <mergeCell ref="A1:N1"/>
    <mergeCell ref="A2:B2"/>
    <mergeCell ref="C2:L2"/>
    <mergeCell ref="M2:N2"/>
    <mergeCell ref="A3:N3"/>
  </mergeCells>
  <phoneticPr fontId="1" type="noConversion"/>
  <conditionalFormatting sqref="C30">
    <cfRule type="cellIs" dxfId="9" priority="9" stopIfTrue="1" operator="equal">
      <formula>#REF!</formula>
    </cfRule>
  </conditionalFormatting>
  <conditionalFormatting sqref="C175">
    <cfRule type="cellIs" dxfId="8" priority="8" stopIfTrue="1" operator="equal">
      <formula>#REF!</formula>
    </cfRule>
  </conditionalFormatting>
  <conditionalFormatting sqref="C201">
    <cfRule type="cellIs" dxfId="7" priority="1" stopIfTrue="1" operator="equal">
      <formula>#REF!</formula>
    </cfRule>
  </conditionalFormatting>
  <conditionalFormatting sqref="C214 C217:C222">
    <cfRule type="cellIs" dxfId="6" priority="2" stopIfTrue="1" operator="equal">
      <formula>#REF!</formula>
    </cfRule>
  </conditionalFormatting>
  <pageMargins left="0.7" right="0.7" top="0.75" bottom="0.75" header="0.3" footer="0.3"/>
  <pageSetup scale="11" orientation="portrait" r:id="rId1"/>
  <colBreaks count="1" manualBreakCount="1">
    <brk id="14" max="1048575" man="1"/>
  </colBreaks>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N165"/>
  <sheetViews>
    <sheetView zoomScale="55" zoomScaleNormal="55" workbookViewId="0">
      <selection activeCell="I8" sqref="I8"/>
    </sheetView>
  </sheetViews>
  <sheetFormatPr defaultColWidth="9.140625" defaultRowHeight="23.25" x14ac:dyDescent="0.2"/>
  <cols>
    <col min="1" max="1" width="13" style="63" customWidth="1"/>
    <col min="2" max="2" width="13.85546875" style="7" customWidth="1"/>
    <col min="3" max="3" width="76.28515625" style="55" customWidth="1"/>
    <col min="4" max="8" width="14.42578125" style="7" customWidth="1"/>
    <col min="9" max="9" width="21.85546875" style="56" customWidth="1"/>
    <col min="10" max="10" width="19.140625" style="166" customWidth="1"/>
    <col min="11" max="11" width="15" style="182" hidden="1" customWidth="1"/>
    <col min="12" max="12" width="26.42578125" style="166" customWidth="1"/>
    <col min="13" max="13" width="23.85546875" style="7" customWidth="1"/>
    <col min="14" max="14" width="40.7109375" style="7" customWidth="1"/>
    <col min="15" max="15" width="9.140625" style="7" customWidth="1"/>
    <col min="16" max="16384" width="9.140625" style="7"/>
  </cols>
  <sheetData>
    <row r="1" spans="1:14" ht="195.75" customHeight="1" x14ac:dyDescent="0.2">
      <c r="A1" s="558"/>
      <c r="B1" s="559"/>
      <c r="C1" s="559"/>
      <c r="D1" s="559"/>
      <c r="E1" s="559"/>
      <c r="F1" s="559"/>
      <c r="G1" s="559"/>
      <c r="H1" s="559"/>
      <c r="I1" s="559"/>
      <c r="J1" s="559"/>
      <c r="K1" s="559"/>
      <c r="L1" s="559"/>
      <c r="M1" s="559"/>
      <c r="N1" s="560"/>
    </row>
    <row r="2" spans="1:14" ht="54" customHeight="1" x14ac:dyDescent="0.2">
      <c r="A2" s="561" t="s">
        <v>12</v>
      </c>
      <c r="B2" s="562"/>
      <c r="C2" s="563" t="s">
        <v>13</v>
      </c>
      <c r="D2" s="564"/>
      <c r="E2" s="564"/>
      <c r="F2" s="564"/>
      <c r="G2" s="564"/>
      <c r="H2" s="564"/>
      <c r="I2" s="564"/>
      <c r="J2" s="564"/>
      <c r="K2" s="564"/>
      <c r="L2" s="565"/>
      <c r="M2" s="566" t="s">
        <v>14</v>
      </c>
      <c r="N2" s="567"/>
    </row>
    <row r="3" spans="1:14" ht="63.75" customHeight="1" x14ac:dyDescent="0.2">
      <c r="A3" s="568" t="s">
        <v>385</v>
      </c>
      <c r="B3" s="569"/>
      <c r="C3" s="569"/>
      <c r="D3" s="569"/>
      <c r="E3" s="569"/>
      <c r="F3" s="569"/>
      <c r="G3" s="569"/>
      <c r="H3" s="569"/>
      <c r="I3" s="569"/>
      <c r="J3" s="569"/>
      <c r="K3" s="569"/>
      <c r="L3" s="569"/>
      <c r="M3" s="569"/>
      <c r="N3" s="570"/>
    </row>
    <row r="4" spans="1:14" ht="54.75" customHeight="1" x14ac:dyDescent="0.2">
      <c r="A4" s="553" t="s">
        <v>408</v>
      </c>
      <c r="B4" s="554"/>
      <c r="C4" s="554"/>
      <c r="D4" s="554"/>
      <c r="E4" s="554"/>
      <c r="F4" s="554"/>
      <c r="G4" s="554"/>
      <c r="H4" s="554"/>
      <c r="I4" s="554"/>
      <c r="J4" s="554"/>
      <c r="K4" s="554"/>
      <c r="L4" s="554"/>
      <c r="M4" s="554"/>
      <c r="N4" s="555"/>
    </row>
    <row r="5" spans="1:14" ht="60.75" x14ac:dyDescent="0.2">
      <c r="A5" s="16" t="s">
        <v>16</v>
      </c>
      <c r="B5" s="64" t="s">
        <v>17</v>
      </c>
      <c r="C5" s="18" t="s">
        <v>18</v>
      </c>
      <c r="D5" s="19" t="s">
        <v>19</v>
      </c>
      <c r="E5" s="20" t="s">
        <v>180</v>
      </c>
      <c r="F5" s="20" t="s">
        <v>302</v>
      </c>
      <c r="G5" s="20" t="s">
        <v>303</v>
      </c>
      <c r="H5" s="20" t="s">
        <v>304</v>
      </c>
      <c r="I5" s="21" t="s">
        <v>305</v>
      </c>
      <c r="J5" s="170" t="s">
        <v>37</v>
      </c>
      <c r="K5" s="175" t="s">
        <v>306</v>
      </c>
      <c r="L5" s="21" t="s">
        <v>38</v>
      </c>
      <c r="M5" s="22" t="s">
        <v>39</v>
      </c>
      <c r="N5" s="23" t="s">
        <v>40</v>
      </c>
    </row>
    <row r="6" spans="1:14" ht="22.5" x14ac:dyDescent="0.2">
      <c r="A6" s="24"/>
      <c r="B6" s="65"/>
      <c r="C6" s="25"/>
      <c r="D6" s="20"/>
      <c r="E6" s="20"/>
      <c r="F6" s="20"/>
      <c r="G6" s="20"/>
      <c r="H6" s="20"/>
      <c r="I6" s="26"/>
      <c r="J6" s="101"/>
      <c r="K6" s="176"/>
      <c r="L6" s="26"/>
      <c r="M6" s="6"/>
      <c r="N6" s="27"/>
    </row>
    <row r="7" spans="1:14" ht="147" customHeight="1" x14ac:dyDescent="0.2">
      <c r="A7" s="28">
        <v>1</v>
      </c>
      <c r="B7" s="5">
        <v>2.6</v>
      </c>
      <c r="C7" s="33" t="s">
        <v>41</v>
      </c>
      <c r="D7" s="3"/>
      <c r="E7" s="3"/>
      <c r="F7" s="3"/>
      <c r="G7" s="3"/>
      <c r="H7" s="3"/>
      <c r="I7" s="14"/>
      <c r="J7" s="99"/>
      <c r="K7" s="177"/>
      <c r="L7" s="99"/>
      <c r="M7" s="6"/>
      <c r="N7" s="27"/>
    </row>
    <row r="8" spans="1:14" ht="22.5" x14ac:dyDescent="0.2">
      <c r="A8" s="28"/>
      <c r="B8" s="5"/>
      <c r="C8" s="33" t="s">
        <v>42</v>
      </c>
      <c r="D8" s="3" t="s">
        <v>43</v>
      </c>
      <c r="E8" s="3"/>
      <c r="F8" s="3"/>
      <c r="G8" s="3"/>
      <c r="H8" s="3"/>
      <c r="I8" s="337">
        <f>SUM(I9:I12)</f>
        <v>12.359999999999998</v>
      </c>
      <c r="J8" s="99">
        <v>205.45</v>
      </c>
      <c r="K8" s="177">
        <v>215.04451499999999</v>
      </c>
      <c r="L8" s="99">
        <f>J8*I8</f>
        <v>2539.3619999999992</v>
      </c>
      <c r="M8" s="6"/>
      <c r="N8" s="27"/>
    </row>
    <row r="9" spans="1:14" ht="22.5" x14ac:dyDescent="0.2">
      <c r="A9" s="28"/>
      <c r="B9" s="5"/>
      <c r="C9" s="33" t="s">
        <v>342</v>
      </c>
      <c r="D9" s="3"/>
      <c r="E9" s="14">
        <v>4</v>
      </c>
      <c r="F9" s="14">
        <f>0.8+0.6</f>
        <v>1.4</v>
      </c>
      <c r="G9" s="14">
        <f>0.8+0.6</f>
        <v>1.4</v>
      </c>
      <c r="H9" s="14">
        <v>1.5</v>
      </c>
      <c r="I9" s="14">
        <f>PRODUCT(E9:H9)</f>
        <v>11.759999999999998</v>
      </c>
      <c r="J9" s="99"/>
      <c r="K9" s="177"/>
      <c r="L9" s="99"/>
      <c r="M9" s="6"/>
      <c r="N9" s="27"/>
    </row>
    <row r="10" spans="1:14" ht="22.5" x14ac:dyDescent="0.2">
      <c r="A10" s="28"/>
      <c r="B10" s="5"/>
      <c r="C10" s="33" t="s">
        <v>347</v>
      </c>
      <c r="D10" s="3"/>
      <c r="E10" s="14">
        <v>2</v>
      </c>
      <c r="F10" s="14">
        <v>3</v>
      </c>
      <c r="G10" s="14">
        <v>0.3</v>
      </c>
      <c r="H10" s="14">
        <v>0.2</v>
      </c>
      <c r="I10" s="14">
        <f>PRODUCT(E10:H10)</f>
        <v>0.36</v>
      </c>
      <c r="J10" s="99"/>
      <c r="K10" s="177"/>
      <c r="L10" s="99"/>
      <c r="M10" s="6"/>
      <c r="N10" s="27"/>
    </row>
    <row r="11" spans="1:14" ht="22.5" x14ac:dyDescent="0.2">
      <c r="A11" s="28"/>
      <c r="B11" s="5"/>
      <c r="C11" s="33"/>
      <c r="D11" s="3"/>
      <c r="E11" s="14">
        <v>2</v>
      </c>
      <c r="F11" s="14">
        <v>2</v>
      </c>
      <c r="G11" s="14">
        <v>0.3</v>
      </c>
      <c r="H11" s="14">
        <v>0.2</v>
      </c>
      <c r="I11" s="14">
        <f>PRODUCT(E11:H11)</f>
        <v>0.24</v>
      </c>
      <c r="J11" s="99"/>
      <c r="K11" s="177"/>
      <c r="L11" s="99"/>
      <c r="M11" s="6"/>
      <c r="N11" s="27"/>
    </row>
    <row r="12" spans="1:14" ht="126" x14ac:dyDescent="0.2">
      <c r="A12" s="28"/>
      <c r="B12" s="5">
        <v>2.7</v>
      </c>
      <c r="C12" s="33" t="s">
        <v>44</v>
      </c>
      <c r="D12" s="3"/>
      <c r="E12" s="14"/>
      <c r="F12" s="14"/>
      <c r="G12" s="14"/>
      <c r="H12" s="14"/>
      <c r="I12" s="14"/>
      <c r="J12" s="99"/>
      <c r="K12" s="177"/>
      <c r="L12" s="99"/>
      <c r="M12" s="6"/>
      <c r="N12" s="27"/>
    </row>
    <row r="13" spans="1:14" ht="22.5" x14ac:dyDescent="0.2">
      <c r="A13" s="28"/>
      <c r="B13" s="5" t="s">
        <v>45</v>
      </c>
      <c r="C13" s="33" t="s">
        <v>46</v>
      </c>
      <c r="D13" s="3" t="s">
        <v>43</v>
      </c>
      <c r="E13" s="14"/>
      <c r="F13" s="14"/>
      <c r="G13" s="14"/>
      <c r="H13" s="14"/>
      <c r="I13" s="14">
        <v>12.4</v>
      </c>
      <c r="J13" s="99">
        <v>412.95</v>
      </c>
      <c r="K13" s="177"/>
      <c r="L13" s="99">
        <f>J13*I13</f>
        <v>5120.58</v>
      </c>
      <c r="M13" s="6"/>
      <c r="N13" s="27"/>
    </row>
    <row r="14" spans="1:14" ht="22.5" x14ac:dyDescent="0.2">
      <c r="A14" s="28"/>
      <c r="B14" s="5"/>
      <c r="C14" s="33"/>
      <c r="D14" s="3"/>
      <c r="E14" s="14"/>
      <c r="F14" s="14"/>
      <c r="G14" s="14"/>
      <c r="H14" s="14"/>
      <c r="I14" s="14"/>
      <c r="J14" s="99"/>
      <c r="K14" s="177"/>
      <c r="L14" s="99"/>
      <c r="M14" s="6"/>
      <c r="N14" s="27"/>
    </row>
    <row r="15" spans="1:14" ht="22.5" x14ac:dyDescent="0.2">
      <c r="A15" s="28"/>
      <c r="B15" s="5"/>
      <c r="C15" s="33"/>
      <c r="D15" s="3"/>
      <c r="I15" s="7"/>
      <c r="J15" s="99"/>
      <c r="K15" s="177"/>
      <c r="L15" s="99"/>
      <c r="M15" s="6"/>
      <c r="N15" s="27"/>
    </row>
    <row r="16" spans="1:14" ht="84" x14ac:dyDescent="0.2">
      <c r="A16" s="28">
        <v>2</v>
      </c>
      <c r="B16" s="5">
        <v>1.1000000000000001</v>
      </c>
      <c r="C16" s="33" t="s">
        <v>61</v>
      </c>
      <c r="D16" s="6"/>
      <c r="E16" s="6"/>
      <c r="F16" s="6"/>
      <c r="G16" s="6"/>
      <c r="H16" s="6"/>
      <c r="I16" s="14"/>
      <c r="J16" s="99"/>
      <c r="K16" s="177">
        <v>0</v>
      </c>
      <c r="L16" s="99">
        <f>J16*I16</f>
        <v>0</v>
      </c>
      <c r="M16" s="6"/>
      <c r="N16" s="27"/>
    </row>
    <row r="17" spans="1:14" ht="22.5" x14ac:dyDescent="0.2">
      <c r="A17" s="28"/>
      <c r="B17" s="5" t="s">
        <v>62</v>
      </c>
      <c r="C17" s="33" t="s">
        <v>63</v>
      </c>
      <c r="D17" s="3" t="s">
        <v>60</v>
      </c>
      <c r="E17" s="3"/>
      <c r="F17" s="3"/>
      <c r="G17" s="3"/>
      <c r="H17" s="3"/>
      <c r="I17" s="14">
        <f>I8-I26</f>
        <v>6.9885000000000002</v>
      </c>
      <c r="J17" s="99">
        <v>271.45</v>
      </c>
      <c r="K17" s="177">
        <v>98.563495000000003</v>
      </c>
      <c r="L17" s="99">
        <f>J17*I17</f>
        <v>1897.028325</v>
      </c>
      <c r="M17" s="6"/>
      <c r="N17" s="27"/>
    </row>
    <row r="18" spans="1:14" ht="22.5" x14ac:dyDescent="0.2">
      <c r="A18" s="28"/>
      <c r="B18" s="5" t="s">
        <v>64</v>
      </c>
      <c r="C18" s="33" t="s">
        <v>65</v>
      </c>
      <c r="D18" s="3" t="s">
        <v>60</v>
      </c>
      <c r="E18" s="3"/>
      <c r="F18" s="3"/>
      <c r="G18" s="3"/>
      <c r="H18" s="3"/>
      <c r="I18" s="14"/>
      <c r="J18" s="99">
        <v>434.32</v>
      </c>
      <c r="K18" s="177">
        <v>147.84252799999999</v>
      </c>
      <c r="L18" s="99">
        <f>J18*I18</f>
        <v>0</v>
      </c>
      <c r="M18" s="6"/>
      <c r="N18" s="27"/>
    </row>
    <row r="19" spans="1:14" ht="22.5" x14ac:dyDescent="0.2">
      <c r="A19" s="28"/>
      <c r="B19" s="5"/>
      <c r="C19" s="33"/>
      <c r="D19" s="3"/>
      <c r="E19" s="3"/>
      <c r="F19" s="3"/>
      <c r="G19" s="3"/>
      <c r="H19" s="3"/>
      <c r="I19" s="14"/>
      <c r="J19" s="99"/>
      <c r="K19" s="177"/>
      <c r="L19" s="99"/>
      <c r="M19" s="6"/>
      <c r="N19" s="27"/>
    </row>
    <row r="20" spans="1:14" ht="22.5" x14ac:dyDescent="0.2">
      <c r="A20" s="28"/>
      <c r="B20" s="5"/>
      <c r="C20" s="33"/>
      <c r="D20" s="3"/>
      <c r="E20" s="3"/>
      <c r="F20" s="3"/>
      <c r="G20" s="3"/>
      <c r="H20" s="3"/>
      <c r="I20" s="14"/>
      <c r="J20" s="99"/>
      <c r="K20" s="177"/>
      <c r="L20" s="99"/>
      <c r="M20" s="6"/>
      <c r="N20" s="27"/>
    </row>
    <row r="21" spans="1:14" ht="105" x14ac:dyDescent="0.2">
      <c r="A21" s="28"/>
      <c r="B21" s="5">
        <v>2.25</v>
      </c>
      <c r="C21" s="33" t="s">
        <v>59</v>
      </c>
      <c r="D21" s="3" t="s">
        <v>60</v>
      </c>
      <c r="E21" s="3"/>
      <c r="F21" s="3"/>
      <c r="G21" s="3"/>
      <c r="H21" s="3"/>
      <c r="I21" s="14">
        <f>I26</f>
        <v>5.3714999999999975</v>
      </c>
      <c r="J21" s="99">
        <v>253.95</v>
      </c>
      <c r="K21" s="177"/>
      <c r="L21" s="99">
        <f>J21*I21</f>
        <v>1364.0924249999994</v>
      </c>
      <c r="M21" s="6"/>
      <c r="N21" s="27"/>
    </row>
    <row r="22" spans="1:14" ht="22.5" x14ac:dyDescent="0.2">
      <c r="A22" s="28"/>
      <c r="B22" s="5"/>
      <c r="C22" s="33"/>
      <c r="D22" s="3"/>
      <c r="E22" s="3"/>
      <c r="F22" s="3"/>
      <c r="G22" s="3"/>
      <c r="H22" s="3"/>
      <c r="I22" s="14"/>
      <c r="J22" s="99"/>
      <c r="K22" s="177"/>
      <c r="L22" s="99"/>
      <c r="M22" s="6"/>
      <c r="N22" s="27"/>
    </row>
    <row r="23" spans="1:14" ht="22.5" x14ac:dyDescent="0.2">
      <c r="A23" s="28"/>
      <c r="B23" s="5"/>
      <c r="C23" s="33"/>
      <c r="D23" s="3"/>
      <c r="E23" s="3"/>
      <c r="F23" s="3"/>
      <c r="G23" s="3"/>
      <c r="H23" s="3"/>
      <c r="I23" s="14"/>
      <c r="J23" s="99"/>
      <c r="K23" s="177"/>
      <c r="L23" s="99"/>
      <c r="M23" s="6"/>
      <c r="N23" s="27"/>
    </row>
    <row r="24" spans="1:14" ht="22.5" x14ac:dyDescent="0.2">
      <c r="A24" s="28"/>
      <c r="B24" s="5"/>
      <c r="C24" s="33"/>
      <c r="D24" s="3"/>
      <c r="E24" s="3"/>
      <c r="F24" s="3"/>
      <c r="G24" s="3"/>
      <c r="H24" s="3"/>
      <c r="I24" s="14"/>
      <c r="J24" s="99"/>
      <c r="K24" s="177"/>
      <c r="L24" s="99"/>
      <c r="M24" s="6"/>
      <c r="N24" s="27"/>
    </row>
    <row r="25" spans="1:14" ht="182.25" x14ac:dyDescent="0.2">
      <c r="A25" s="28">
        <v>3</v>
      </c>
      <c r="B25" s="32">
        <v>810</v>
      </c>
      <c r="C25" s="15" t="s">
        <v>308</v>
      </c>
      <c r="D25" s="3"/>
      <c r="E25" s="3"/>
      <c r="F25" s="3"/>
      <c r="G25" s="3"/>
      <c r="H25" s="3"/>
      <c r="I25" s="14"/>
      <c r="J25" s="99"/>
      <c r="K25" s="177">
        <v>0</v>
      </c>
      <c r="L25" s="99">
        <f>J25*I25</f>
        <v>0</v>
      </c>
      <c r="M25" s="6"/>
      <c r="N25" s="27"/>
    </row>
    <row r="26" spans="1:14" ht="22.5" x14ac:dyDescent="0.2">
      <c r="A26" s="28">
        <v>4</v>
      </c>
      <c r="B26" s="32">
        <v>810</v>
      </c>
      <c r="C26" s="33" t="s">
        <v>66</v>
      </c>
      <c r="D26" s="3" t="s">
        <v>60</v>
      </c>
      <c r="E26" s="3"/>
      <c r="F26" s="3"/>
      <c r="G26" s="3"/>
      <c r="H26" s="3"/>
      <c r="I26" s="14">
        <f>SUM(I27:I32)</f>
        <v>5.3714999999999975</v>
      </c>
      <c r="J26" s="99">
        <v>500</v>
      </c>
      <c r="K26" s="177">
        <v>730.25</v>
      </c>
      <c r="L26" s="99">
        <f>J26*I26</f>
        <v>2685.7499999999986</v>
      </c>
      <c r="M26" s="6"/>
      <c r="N26" s="27"/>
    </row>
    <row r="27" spans="1:14" ht="22.5" x14ac:dyDescent="0.2">
      <c r="A27" s="28"/>
      <c r="B27" s="32"/>
      <c r="C27" s="33"/>
      <c r="D27" s="3"/>
      <c r="E27" s="3"/>
      <c r="F27" s="3">
        <v>2</v>
      </c>
      <c r="G27" s="3">
        <v>3</v>
      </c>
      <c r="H27" s="3">
        <v>0.2</v>
      </c>
      <c r="I27" s="14">
        <f>PRODUCT(E27:H27)</f>
        <v>1.2000000000000002</v>
      </c>
      <c r="J27" s="99"/>
      <c r="K27" s="177"/>
      <c r="L27" s="99"/>
      <c r="M27" s="6"/>
      <c r="N27" s="27"/>
    </row>
    <row r="28" spans="1:14" ht="22.5" x14ac:dyDescent="0.2">
      <c r="A28" s="28"/>
      <c r="B28" s="32"/>
      <c r="C28" s="33"/>
      <c r="D28" s="3"/>
      <c r="E28" s="3"/>
      <c r="F28" s="3"/>
      <c r="G28" s="3"/>
      <c r="H28" s="14">
        <f>I8</f>
        <v>12.359999999999998</v>
      </c>
      <c r="I28" s="14">
        <f>PRODUCT(H28)</f>
        <v>12.359999999999998</v>
      </c>
      <c r="J28" s="99"/>
      <c r="K28" s="177"/>
      <c r="L28" s="99"/>
      <c r="M28" s="6"/>
      <c r="N28" s="27"/>
    </row>
    <row r="29" spans="1:14" ht="22.5" x14ac:dyDescent="0.2">
      <c r="A29" s="28"/>
      <c r="B29" s="32"/>
      <c r="C29" s="33" t="s">
        <v>337</v>
      </c>
      <c r="D29" s="3"/>
      <c r="E29" s="3"/>
      <c r="F29" s="3"/>
      <c r="G29" s="3"/>
      <c r="H29" s="14">
        <f>-I41</f>
        <v>-1.1875</v>
      </c>
      <c r="I29" s="14">
        <f>PRODUCT(H29)</f>
        <v>-1.1875</v>
      </c>
      <c r="J29" s="99"/>
      <c r="K29" s="177"/>
      <c r="L29" s="99"/>
      <c r="M29" s="6"/>
      <c r="N29" s="27"/>
    </row>
    <row r="30" spans="1:14" ht="22.5" x14ac:dyDescent="0.2">
      <c r="A30" s="28"/>
      <c r="B30" s="32"/>
      <c r="C30" s="33" t="s">
        <v>338</v>
      </c>
      <c r="D30" s="3"/>
      <c r="E30" s="3"/>
      <c r="F30" s="3"/>
      <c r="G30" s="3"/>
      <c r="H30" s="14">
        <f>-SUM(I78)</f>
        <v>-0.76800000000000013</v>
      </c>
      <c r="I30" s="14">
        <f>PRODUCT(H30)</f>
        <v>-0.76800000000000013</v>
      </c>
      <c r="J30" s="99"/>
      <c r="K30" s="177"/>
      <c r="L30" s="99"/>
      <c r="M30" s="6"/>
      <c r="N30" s="27"/>
    </row>
    <row r="31" spans="1:14" ht="22.5" x14ac:dyDescent="0.2">
      <c r="A31" s="28"/>
      <c r="B31" s="32"/>
      <c r="C31" s="33" t="s">
        <v>347</v>
      </c>
      <c r="D31" s="3"/>
      <c r="E31" s="3"/>
      <c r="F31" s="3"/>
      <c r="G31" s="3"/>
      <c r="H31" s="14">
        <f>-SUM(I80:I81)</f>
        <v>-0.52900000000000003</v>
      </c>
      <c r="I31" s="14">
        <f>PRODUCT(H31)</f>
        <v>-0.52900000000000003</v>
      </c>
      <c r="J31" s="99"/>
      <c r="K31" s="177"/>
      <c r="L31" s="99"/>
      <c r="M31" s="6"/>
      <c r="N31" s="27"/>
    </row>
    <row r="32" spans="1:14" ht="22.5" x14ac:dyDescent="0.2">
      <c r="A32" s="28"/>
      <c r="B32" s="32"/>
      <c r="C32" s="33" t="s">
        <v>339</v>
      </c>
      <c r="D32" s="3"/>
      <c r="E32" s="3"/>
      <c r="F32" s="3"/>
      <c r="G32" s="3"/>
      <c r="H32" s="14">
        <f>-I54-I55-I56-I57</f>
        <v>-5.7040000000000006</v>
      </c>
      <c r="I32" s="14">
        <f>PRODUCT(H32)</f>
        <v>-5.7040000000000006</v>
      </c>
      <c r="J32" s="99"/>
      <c r="K32" s="177"/>
      <c r="L32" s="99"/>
      <c r="M32" s="6"/>
      <c r="N32" s="27"/>
    </row>
    <row r="33" spans="1:14" ht="22.5" x14ac:dyDescent="0.2">
      <c r="A33" s="28">
        <v>5</v>
      </c>
      <c r="B33" s="32">
        <v>982</v>
      </c>
      <c r="C33" s="33" t="s">
        <v>68</v>
      </c>
      <c r="D33" s="3" t="s">
        <v>60</v>
      </c>
      <c r="E33" s="3"/>
      <c r="F33" s="3"/>
      <c r="G33" s="3"/>
      <c r="H33" s="3"/>
      <c r="I33" s="14"/>
      <c r="J33" s="99">
        <v>1500</v>
      </c>
      <c r="K33" s="177">
        <v>3024</v>
      </c>
      <c r="L33" s="99">
        <f>J33*I33</f>
        <v>0</v>
      </c>
      <c r="M33" s="6"/>
      <c r="N33" s="27"/>
    </row>
    <row r="34" spans="1:14" ht="22.5" x14ac:dyDescent="0.2">
      <c r="A34" s="28">
        <v>6</v>
      </c>
      <c r="B34" s="5"/>
      <c r="C34" s="33" t="s">
        <v>69</v>
      </c>
      <c r="D34" s="3"/>
      <c r="E34" s="3"/>
      <c r="F34" s="3"/>
      <c r="G34" s="3"/>
      <c r="H34" s="3"/>
      <c r="I34" s="14"/>
      <c r="J34" s="99"/>
      <c r="K34" s="177"/>
      <c r="L34" s="99"/>
      <c r="M34" s="6"/>
      <c r="N34" s="27"/>
    </row>
    <row r="35" spans="1:14" ht="51" customHeight="1" x14ac:dyDescent="0.2">
      <c r="A35" s="28">
        <v>7</v>
      </c>
      <c r="B35" s="5" t="s">
        <v>70</v>
      </c>
      <c r="C35" s="571" t="s">
        <v>71</v>
      </c>
      <c r="D35" s="14"/>
      <c r="E35" s="14"/>
      <c r="F35" s="14"/>
      <c r="G35" s="14"/>
      <c r="H35" s="14"/>
      <c r="I35" s="14"/>
      <c r="J35" s="99"/>
      <c r="K35" s="177"/>
      <c r="L35" s="99"/>
      <c r="M35" s="6"/>
      <c r="N35" s="27"/>
    </row>
    <row r="36" spans="1:14" ht="33.75" customHeight="1" x14ac:dyDescent="0.2">
      <c r="A36" s="28"/>
      <c r="B36" s="5"/>
      <c r="C36" s="571"/>
      <c r="D36" s="14"/>
      <c r="E36" s="14"/>
      <c r="F36" s="14"/>
      <c r="G36" s="14"/>
      <c r="H36" s="14"/>
      <c r="I36" s="14"/>
      <c r="J36" s="99"/>
      <c r="K36" s="177">
        <v>0</v>
      </c>
      <c r="L36" s="99"/>
      <c r="M36" s="6"/>
      <c r="N36" s="27"/>
    </row>
    <row r="37" spans="1:14" ht="22.5" x14ac:dyDescent="0.2">
      <c r="A37" s="28"/>
      <c r="B37" s="5"/>
      <c r="C37" s="33" t="s">
        <v>72</v>
      </c>
      <c r="D37" s="3" t="s">
        <v>73</v>
      </c>
      <c r="E37" s="3"/>
      <c r="F37" s="3"/>
      <c r="G37" s="3"/>
      <c r="H37" s="3" t="s">
        <v>309</v>
      </c>
      <c r="I37" s="337">
        <f>SUM(I38:I39)</f>
        <v>6</v>
      </c>
      <c r="J37" s="99">
        <v>53</v>
      </c>
      <c r="K37" s="177">
        <v>110.8813</v>
      </c>
      <c r="L37" s="99">
        <f>J37*I37</f>
        <v>318</v>
      </c>
      <c r="M37" s="6"/>
      <c r="N37" s="27"/>
    </row>
    <row r="38" spans="1:14" ht="22.5" x14ac:dyDescent="0.2">
      <c r="A38" s="28"/>
      <c r="B38" s="5"/>
      <c r="C38" s="33"/>
      <c r="D38" s="3"/>
      <c r="E38" s="3"/>
      <c r="F38" s="3">
        <v>2</v>
      </c>
      <c r="G38" s="3">
        <v>3</v>
      </c>
      <c r="H38" s="3"/>
      <c r="I38" s="14">
        <f>PRODUCT(E38:H38)</f>
        <v>6</v>
      </c>
      <c r="J38" s="99"/>
      <c r="K38" s="177"/>
      <c r="L38" s="99"/>
      <c r="M38" s="6"/>
      <c r="N38" s="27"/>
    </row>
    <row r="39" spans="1:14" ht="22.5" x14ac:dyDescent="0.2">
      <c r="A39" s="28"/>
      <c r="B39" s="5"/>
      <c r="C39" s="33"/>
      <c r="D39" s="3"/>
      <c r="E39" s="3"/>
      <c r="F39" s="3"/>
      <c r="G39" s="3"/>
      <c r="H39" s="3"/>
      <c r="I39" s="14">
        <f>PRODUCT(E39:H39)</f>
        <v>0</v>
      </c>
      <c r="J39" s="99"/>
      <c r="K39" s="177"/>
      <c r="L39" s="99"/>
      <c r="M39" s="6"/>
      <c r="N39" s="27"/>
    </row>
    <row r="40" spans="1:14" ht="63" x14ac:dyDescent="0.2">
      <c r="A40" s="28">
        <v>8</v>
      </c>
      <c r="B40" s="5">
        <v>4.0999999999999996</v>
      </c>
      <c r="C40" s="33" t="s">
        <v>74</v>
      </c>
      <c r="D40" s="3"/>
      <c r="E40" s="3"/>
      <c r="F40" s="3"/>
      <c r="G40" s="3"/>
      <c r="H40" s="3"/>
      <c r="I40" s="14"/>
      <c r="J40" s="99"/>
      <c r="K40" s="177"/>
      <c r="L40" s="99">
        <f>J40*I40</f>
        <v>0</v>
      </c>
      <c r="M40" s="6"/>
      <c r="N40" s="27"/>
    </row>
    <row r="41" spans="1:14" ht="84" x14ac:dyDescent="0.2">
      <c r="A41" s="28">
        <v>9</v>
      </c>
      <c r="B41" s="5" t="s">
        <v>75</v>
      </c>
      <c r="C41" s="33" t="s">
        <v>76</v>
      </c>
      <c r="D41" s="3" t="s">
        <v>43</v>
      </c>
      <c r="E41" s="3"/>
      <c r="F41" s="3"/>
      <c r="G41" s="3"/>
      <c r="H41" s="3" t="s">
        <v>309</v>
      </c>
      <c r="I41" s="337">
        <f>SUM(I42:I45)</f>
        <v>1.1875</v>
      </c>
      <c r="J41" s="14">
        <v>6833.4</v>
      </c>
      <c r="K41" s="177">
        <v>4811.3969399999996</v>
      </c>
      <c r="L41" s="99">
        <f>J41*I41</f>
        <v>8114.6624999999995</v>
      </c>
      <c r="M41" s="6"/>
      <c r="N41" s="27"/>
    </row>
    <row r="42" spans="1:14" ht="22.5" x14ac:dyDescent="0.2">
      <c r="A42" s="28"/>
      <c r="B42" s="5"/>
      <c r="C42" s="33" t="s">
        <v>332</v>
      </c>
      <c r="D42" s="3"/>
      <c r="E42" s="14">
        <f>E9</f>
        <v>4</v>
      </c>
      <c r="F42" s="14">
        <f>F9-0.6+0.2</f>
        <v>1</v>
      </c>
      <c r="G42" s="14">
        <f>G9-0.6+0.2</f>
        <v>1</v>
      </c>
      <c r="H42" s="14">
        <v>0.1</v>
      </c>
      <c r="I42" s="14">
        <f>PRODUCT(E42:H42)</f>
        <v>0.4</v>
      </c>
      <c r="J42" s="99"/>
      <c r="K42" s="177"/>
      <c r="L42" s="99"/>
      <c r="M42" s="6"/>
      <c r="N42" s="27"/>
    </row>
    <row r="43" spans="1:14" ht="22.5" x14ac:dyDescent="0.2">
      <c r="A43" s="28"/>
      <c r="B43" s="5"/>
      <c r="C43" s="33" t="s">
        <v>347</v>
      </c>
      <c r="D43" s="3"/>
      <c r="E43" s="3">
        <v>2</v>
      </c>
      <c r="F43" s="3">
        <v>3</v>
      </c>
      <c r="G43" s="3">
        <f>0.3+0.15</f>
        <v>0.44999999999999996</v>
      </c>
      <c r="H43" s="34">
        <v>7.4999999999999997E-2</v>
      </c>
      <c r="I43" s="14">
        <f>PRODUCT(E43:H43)</f>
        <v>0.20249999999999999</v>
      </c>
      <c r="J43" s="99"/>
      <c r="K43" s="177"/>
      <c r="L43" s="99"/>
      <c r="M43" s="6"/>
      <c r="N43" s="27"/>
    </row>
    <row r="44" spans="1:14" ht="22.5" x14ac:dyDescent="0.2">
      <c r="A44" s="28"/>
      <c r="B44" s="5"/>
      <c r="C44" s="33" t="s">
        <v>347</v>
      </c>
      <c r="D44" s="3"/>
      <c r="E44" s="3">
        <v>2</v>
      </c>
      <c r="F44" s="3">
        <v>2</v>
      </c>
      <c r="G44" s="3">
        <f>0.3+0.15</f>
        <v>0.44999999999999996</v>
      </c>
      <c r="H44" s="34">
        <v>7.4999999999999997E-2</v>
      </c>
      <c r="I44" s="14">
        <f>PRODUCT(E44:H44)</f>
        <v>0.13499999999999998</v>
      </c>
      <c r="J44" s="99"/>
      <c r="K44" s="177"/>
      <c r="L44" s="99"/>
      <c r="M44" s="6"/>
      <c r="N44" s="27"/>
    </row>
    <row r="45" spans="1:14" ht="22.5" x14ac:dyDescent="0.2">
      <c r="A45" s="28"/>
      <c r="B45" s="5"/>
      <c r="C45" s="33" t="s">
        <v>409</v>
      </c>
      <c r="D45" s="3"/>
      <c r="E45" s="3">
        <v>1</v>
      </c>
      <c r="F45" s="3">
        <v>2</v>
      </c>
      <c r="G45" s="3">
        <v>3</v>
      </c>
      <c r="H45" s="34">
        <v>7.4999999999999997E-2</v>
      </c>
      <c r="I45" s="14">
        <f>PRODUCT(E45:H45)</f>
        <v>0.44999999999999996</v>
      </c>
      <c r="J45" s="99"/>
      <c r="K45" s="177"/>
      <c r="L45" s="99"/>
      <c r="M45" s="6"/>
      <c r="N45" s="27"/>
    </row>
    <row r="46" spans="1:14" ht="189" x14ac:dyDescent="0.2">
      <c r="A46" s="28">
        <v>10</v>
      </c>
      <c r="B46" s="5">
        <v>16.79</v>
      </c>
      <c r="C46" s="33" t="s">
        <v>77</v>
      </c>
      <c r="D46" s="3" t="s">
        <v>43</v>
      </c>
      <c r="E46" s="3"/>
      <c r="F46" s="3"/>
      <c r="G46" s="3"/>
      <c r="H46" s="3" t="s">
        <v>309</v>
      </c>
      <c r="I46" s="337">
        <f>SUM(I47:I48)</f>
        <v>0.89999999999999991</v>
      </c>
      <c r="J46" s="99">
        <v>2803.65</v>
      </c>
      <c r="K46" s="177">
        <v>1985.8252950000001</v>
      </c>
      <c r="L46" s="99">
        <f>J46*I46</f>
        <v>2523.2849999999999</v>
      </c>
      <c r="M46" s="6"/>
      <c r="N46" s="27"/>
    </row>
    <row r="47" spans="1:14" ht="22.5" x14ac:dyDescent="0.2">
      <c r="A47" s="28"/>
      <c r="B47" s="5"/>
      <c r="C47" s="33"/>
      <c r="D47" s="3"/>
      <c r="E47" s="3"/>
      <c r="F47" s="3">
        <v>2</v>
      </c>
      <c r="G47" s="3">
        <v>3</v>
      </c>
      <c r="H47" s="3">
        <v>0.15</v>
      </c>
      <c r="I47" s="14">
        <f>PRODUCT(E47:H47)</f>
        <v>0.89999999999999991</v>
      </c>
      <c r="J47" s="99"/>
      <c r="K47" s="177"/>
      <c r="L47" s="99"/>
      <c r="M47" s="6"/>
      <c r="N47" s="27"/>
    </row>
    <row r="48" spans="1:14" ht="22.5" x14ac:dyDescent="0.2">
      <c r="A48" s="28"/>
      <c r="B48" s="5"/>
      <c r="C48" s="33"/>
      <c r="D48" s="3"/>
      <c r="E48" s="3"/>
      <c r="F48" s="3"/>
      <c r="G48" s="3"/>
      <c r="H48" s="3"/>
      <c r="I48" s="14"/>
      <c r="J48" s="99"/>
      <c r="K48" s="177"/>
      <c r="L48" s="99"/>
      <c r="M48" s="6"/>
      <c r="N48" s="27"/>
    </row>
    <row r="49" spans="1:14" ht="42" x14ac:dyDescent="0.2">
      <c r="A49" s="28">
        <v>11</v>
      </c>
      <c r="B49" s="5" t="s">
        <v>207</v>
      </c>
      <c r="C49" s="33" t="s">
        <v>79</v>
      </c>
      <c r="D49" s="3" t="s">
        <v>73</v>
      </c>
      <c r="E49" s="3"/>
      <c r="F49" s="3"/>
      <c r="G49" s="3"/>
      <c r="H49" s="3"/>
      <c r="I49" s="14"/>
      <c r="J49" s="99">
        <v>120</v>
      </c>
      <c r="K49" s="177">
        <v>151.19999999999999</v>
      </c>
      <c r="L49" s="99">
        <f>J49*I49</f>
        <v>0</v>
      </c>
      <c r="M49" s="6"/>
      <c r="N49" s="27"/>
    </row>
    <row r="50" spans="1:14" ht="42" x14ac:dyDescent="0.2">
      <c r="A50" s="28">
        <v>12</v>
      </c>
      <c r="B50" s="5">
        <v>5.9</v>
      </c>
      <c r="C50" s="33" t="s">
        <v>80</v>
      </c>
      <c r="D50" s="3"/>
      <c r="E50" s="3"/>
      <c r="F50" s="3"/>
      <c r="G50" s="3"/>
      <c r="H50" s="3"/>
      <c r="I50" s="14"/>
      <c r="J50" s="99"/>
      <c r="K50" s="177"/>
      <c r="L50" s="99">
        <f>J50*I50</f>
        <v>0</v>
      </c>
      <c r="M50" s="6"/>
      <c r="N50" s="27"/>
    </row>
    <row r="51" spans="1:14" ht="84" x14ac:dyDescent="0.2">
      <c r="A51" s="28">
        <v>13</v>
      </c>
      <c r="B51" s="5" t="s">
        <v>81</v>
      </c>
      <c r="C51" s="33" t="s">
        <v>310</v>
      </c>
      <c r="D51" s="3" t="s">
        <v>73</v>
      </c>
      <c r="E51" s="3"/>
      <c r="F51" s="3"/>
      <c r="G51" s="3"/>
      <c r="H51" s="3" t="s">
        <v>309</v>
      </c>
      <c r="I51" s="14">
        <f>SUM(I52:I57)</f>
        <v>9.5440000000000005</v>
      </c>
      <c r="J51" s="99">
        <v>307.95</v>
      </c>
      <c r="K51" s="177">
        <v>684.32649000000004</v>
      </c>
      <c r="L51" s="99">
        <f>J51*I51</f>
        <v>2939.0747999999999</v>
      </c>
      <c r="M51" s="6"/>
      <c r="N51" s="27"/>
    </row>
    <row r="52" spans="1:14" ht="22.5" x14ac:dyDescent="0.2">
      <c r="A52" s="28"/>
      <c r="B52" s="5"/>
      <c r="C52" s="3" t="str">
        <f>C78</f>
        <v xml:space="preserve">FOOTING </v>
      </c>
      <c r="D52" s="3"/>
      <c r="E52" s="3">
        <f>E78</f>
        <v>4</v>
      </c>
      <c r="F52" s="3">
        <f>F78+G78</f>
        <v>1.6</v>
      </c>
      <c r="G52" s="3">
        <v>2</v>
      </c>
      <c r="H52" s="3">
        <f>H78</f>
        <v>0.3</v>
      </c>
      <c r="I52" s="14">
        <f>PRODUCT(E52:H52)</f>
        <v>3.84</v>
      </c>
      <c r="J52" s="99"/>
      <c r="K52" s="177"/>
      <c r="L52" s="99"/>
      <c r="M52" s="6"/>
      <c r="N52" s="27"/>
    </row>
    <row r="53" spans="1:14" ht="22.5" x14ac:dyDescent="0.2">
      <c r="A53" s="28"/>
      <c r="B53" s="5"/>
      <c r="C53" s="3"/>
      <c r="D53" s="3"/>
      <c r="E53" s="3"/>
      <c r="F53" s="3"/>
      <c r="G53" s="3"/>
      <c r="H53" s="3"/>
      <c r="I53" s="14"/>
      <c r="J53" s="99"/>
      <c r="K53" s="177"/>
      <c r="L53" s="99"/>
      <c r="M53" s="6"/>
      <c r="N53" s="27"/>
    </row>
    <row r="54" spans="1:14" ht="22.5" x14ac:dyDescent="0.2">
      <c r="A54" s="28"/>
      <c r="B54" s="5"/>
      <c r="C54" s="3" t="str">
        <f>C83</f>
        <v xml:space="preserve"> FOOTING TOP TO NGL </v>
      </c>
      <c r="D54" s="3"/>
      <c r="E54" s="3">
        <f>E83</f>
        <v>4</v>
      </c>
      <c r="F54" s="3">
        <f>F83+G83</f>
        <v>0.46</v>
      </c>
      <c r="G54" s="3">
        <v>2</v>
      </c>
      <c r="H54" s="3">
        <f>H83</f>
        <v>1.0999999999999999</v>
      </c>
      <c r="I54" s="14">
        <f>PRODUCT(E54:H54)</f>
        <v>4.048</v>
      </c>
      <c r="J54" s="99"/>
      <c r="K54" s="177"/>
      <c r="L54" s="99"/>
      <c r="M54" s="6"/>
      <c r="N54" s="27"/>
    </row>
    <row r="55" spans="1:14" ht="22.5" x14ac:dyDescent="0.2">
      <c r="A55" s="28"/>
      <c r="B55" s="5"/>
      <c r="C55" s="3"/>
      <c r="D55" s="3"/>
      <c r="E55" s="3"/>
      <c r="F55" s="3"/>
      <c r="G55" s="3"/>
      <c r="H55" s="3"/>
      <c r="I55" s="14"/>
      <c r="J55" s="99"/>
      <c r="K55" s="177"/>
      <c r="L55" s="99"/>
      <c r="M55" s="6"/>
      <c r="N55" s="27"/>
    </row>
    <row r="56" spans="1:14" ht="22.5" x14ac:dyDescent="0.2">
      <c r="A56" s="28"/>
      <c r="B56" s="5"/>
      <c r="C56" s="3" t="str">
        <f>C85</f>
        <v xml:space="preserve">NGL TO FFL </v>
      </c>
      <c r="D56" s="3"/>
      <c r="E56" s="3">
        <f>E85</f>
        <v>4</v>
      </c>
      <c r="F56" s="3">
        <f>F85+G85</f>
        <v>0.46</v>
      </c>
      <c r="G56" s="3">
        <v>2</v>
      </c>
      <c r="H56" s="3">
        <f>H85</f>
        <v>0.45</v>
      </c>
      <c r="I56" s="14">
        <f>PRODUCT(E56:H56)</f>
        <v>1.6560000000000001</v>
      </c>
      <c r="J56" s="99"/>
      <c r="K56" s="177"/>
      <c r="L56" s="99"/>
      <c r="M56" s="6"/>
      <c r="N56" s="27"/>
    </row>
    <row r="57" spans="1:14" ht="22.5" x14ac:dyDescent="0.2">
      <c r="A57" s="28"/>
      <c r="B57" s="5"/>
      <c r="C57" s="3"/>
      <c r="D57" s="3"/>
      <c r="E57" s="3"/>
      <c r="F57" s="3"/>
      <c r="G57" s="3"/>
      <c r="H57" s="3"/>
      <c r="I57" s="14"/>
      <c r="J57" s="99"/>
      <c r="K57" s="177"/>
      <c r="L57" s="99"/>
      <c r="M57" s="6"/>
      <c r="N57" s="27"/>
    </row>
    <row r="58" spans="1:14" ht="22.5" x14ac:dyDescent="0.2">
      <c r="A58" s="28"/>
      <c r="B58" s="5"/>
      <c r="C58" s="33"/>
      <c r="D58" s="3"/>
      <c r="E58" s="3"/>
      <c r="F58" s="3"/>
      <c r="G58" s="3"/>
      <c r="H58" s="3"/>
      <c r="I58" s="14"/>
      <c r="J58" s="99"/>
      <c r="K58" s="177"/>
      <c r="L58" s="99"/>
      <c r="M58" s="6"/>
      <c r="N58" s="27"/>
    </row>
    <row r="59" spans="1:14" ht="147" x14ac:dyDescent="0.2">
      <c r="A59" s="28">
        <v>14</v>
      </c>
      <c r="B59" s="5" t="s">
        <v>83</v>
      </c>
      <c r="C59" s="33" t="s">
        <v>84</v>
      </c>
      <c r="D59" s="3" t="s">
        <v>73</v>
      </c>
      <c r="E59" s="3"/>
      <c r="F59" s="3"/>
      <c r="G59" s="3"/>
      <c r="H59" s="3" t="s">
        <v>309</v>
      </c>
      <c r="I59" s="14">
        <f>SUM(I60:I61)</f>
        <v>4.6000000000000005</v>
      </c>
      <c r="J59" s="99">
        <v>669.55</v>
      </c>
      <c r="K59" s="177">
        <v>806.40602000000001</v>
      </c>
      <c r="L59" s="99">
        <f>J59*I59</f>
        <v>3079.9300000000003</v>
      </c>
      <c r="M59" s="6"/>
      <c r="N59" s="27"/>
    </row>
    <row r="60" spans="1:14" ht="22.5" x14ac:dyDescent="0.2">
      <c r="A60" s="28"/>
      <c r="B60" s="5"/>
      <c r="C60" s="3" t="str">
        <f>C80</f>
        <v xml:space="preserve">PLINTH BEAM </v>
      </c>
      <c r="D60" s="3"/>
      <c r="E60" s="3">
        <f>E80</f>
        <v>2</v>
      </c>
      <c r="F60" s="3">
        <f>F80</f>
        <v>3</v>
      </c>
      <c r="G60" s="3">
        <v>2</v>
      </c>
      <c r="H60" s="3">
        <f>H80</f>
        <v>0.23</v>
      </c>
      <c r="I60" s="14">
        <f>PRODUCT(E60:H60)</f>
        <v>2.7600000000000002</v>
      </c>
      <c r="J60" s="99"/>
      <c r="K60" s="177"/>
      <c r="L60" s="99"/>
      <c r="M60" s="6"/>
      <c r="N60" s="27"/>
    </row>
    <row r="61" spans="1:14" ht="22.5" x14ac:dyDescent="0.2">
      <c r="A61" s="28"/>
      <c r="B61" s="5"/>
      <c r="C61" s="3"/>
      <c r="D61" s="3"/>
      <c r="E61" s="3">
        <f>E81</f>
        <v>2</v>
      </c>
      <c r="F61" s="3">
        <v>2</v>
      </c>
      <c r="G61" s="3">
        <v>2</v>
      </c>
      <c r="H61" s="3">
        <f>H81</f>
        <v>0.23</v>
      </c>
      <c r="I61" s="14">
        <f>PRODUCT(E61:H61)</f>
        <v>1.84</v>
      </c>
      <c r="J61" s="99"/>
      <c r="K61" s="177"/>
      <c r="L61" s="99"/>
      <c r="M61" s="6"/>
      <c r="N61" s="27"/>
    </row>
    <row r="62" spans="1:14" ht="22.5" x14ac:dyDescent="0.2">
      <c r="A62" s="28"/>
      <c r="B62" s="5"/>
      <c r="C62" s="33"/>
      <c r="D62" s="3"/>
      <c r="E62" s="3"/>
      <c r="F62" s="3"/>
      <c r="G62" s="3"/>
      <c r="H62" s="3"/>
      <c r="I62" s="14"/>
      <c r="J62" s="99"/>
      <c r="K62" s="177"/>
      <c r="L62" s="99"/>
      <c r="M62" s="6"/>
      <c r="N62" s="27"/>
    </row>
    <row r="63" spans="1:14" ht="168" x14ac:dyDescent="0.2">
      <c r="A63" s="28">
        <v>15</v>
      </c>
      <c r="B63" s="5" t="s">
        <v>85</v>
      </c>
      <c r="C63" s="33" t="s">
        <v>340</v>
      </c>
      <c r="D63" s="3" t="s">
        <v>73</v>
      </c>
      <c r="E63" s="3"/>
      <c r="F63" s="3"/>
      <c r="G63" s="3"/>
      <c r="H63" s="3"/>
      <c r="I63" s="14"/>
      <c r="J63" s="99">
        <v>766.55</v>
      </c>
      <c r="K63" s="177">
        <v>806.41060000000004</v>
      </c>
      <c r="L63" s="99">
        <f>J63*I63</f>
        <v>0</v>
      </c>
      <c r="M63" s="6"/>
      <c r="N63" s="27"/>
    </row>
    <row r="64" spans="1:14" ht="22.5" x14ac:dyDescent="0.2">
      <c r="A64" s="28"/>
      <c r="B64" s="5"/>
      <c r="C64" s="33"/>
      <c r="D64" s="3"/>
      <c r="E64" s="3"/>
      <c r="F64" s="3"/>
      <c r="G64" s="3"/>
      <c r="H64" s="3"/>
      <c r="I64" s="14"/>
      <c r="J64" s="99"/>
      <c r="K64" s="177"/>
      <c r="L64" s="99"/>
      <c r="M64" s="6"/>
      <c r="N64" s="27"/>
    </row>
    <row r="65" spans="1:14" ht="126" x14ac:dyDescent="0.2">
      <c r="A65" s="28">
        <v>16</v>
      </c>
      <c r="B65" s="5" t="s">
        <v>87</v>
      </c>
      <c r="C65" s="33" t="s">
        <v>88</v>
      </c>
      <c r="D65" s="3" t="s">
        <v>73</v>
      </c>
      <c r="E65" s="3"/>
      <c r="F65" s="3"/>
      <c r="G65" s="3"/>
      <c r="H65" s="3" t="s">
        <v>309</v>
      </c>
      <c r="I65" s="14">
        <f>SUM(I66:I70)</f>
        <v>12</v>
      </c>
      <c r="J65" s="99">
        <v>608.35</v>
      </c>
      <c r="K65" s="177">
        <v>1007.975115</v>
      </c>
      <c r="L65" s="99">
        <f>J65*I65</f>
        <v>7300.2000000000007</v>
      </c>
      <c r="M65" s="6"/>
      <c r="N65" s="27"/>
    </row>
    <row r="66" spans="1:14" ht="22.5" x14ac:dyDescent="0.2">
      <c r="A66" s="28"/>
      <c r="B66" s="5"/>
      <c r="C66" s="3" t="str">
        <f>C92</f>
        <v xml:space="preserve">BEAM </v>
      </c>
      <c r="D66" s="3"/>
      <c r="E66" s="3">
        <f>E92</f>
        <v>1</v>
      </c>
      <c r="F66" s="3">
        <v>10</v>
      </c>
      <c r="G66" s="3">
        <v>2</v>
      </c>
      <c r="H66" s="3">
        <f>H92</f>
        <v>0.3</v>
      </c>
      <c r="I66" s="14">
        <f>PRODUCT(E66:H66)</f>
        <v>6</v>
      </c>
      <c r="J66" s="99"/>
      <c r="K66" s="177"/>
      <c r="L66" s="99"/>
      <c r="M66" s="6"/>
      <c r="N66" s="27"/>
    </row>
    <row r="67" spans="1:14" ht="22.5" x14ac:dyDescent="0.2">
      <c r="A67" s="28"/>
      <c r="B67" s="5"/>
      <c r="C67" s="3"/>
      <c r="D67" s="3"/>
      <c r="E67" s="3">
        <f>E66</f>
        <v>1</v>
      </c>
      <c r="F67" s="3">
        <v>10</v>
      </c>
      <c r="G67" s="3">
        <v>2</v>
      </c>
      <c r="H67" s="3">
        <v>0.2</v>
      </c>
      <c r="I67" s="14">
        <f>PRODUCT(E67:H67)</f>
        <v>4</v>
      </c>
      <c r="J67" s="99"/>
      <c r="K67" s="177"/>
      <c r="L67" s="99"/>
      <c r="M67" s="6"/>
      <c r="N67" s="27"/>
    </row>
    <row r="68" spans="1:14" ht="22.5" x14ac:dyDescent="0.2">
      <c r="A68" s="28"/>
      <c r="B68" s="5"/>
      <c r="C68" s="3"/>
      <c r="D68" s="3"/>
      <c r="E68" s="3"/>
      <c r="F68" s="3"/>
      <c r="G68" s="3"/>
      <c r="H68" s="3"/>
      <c r="I68" s="14"/>
      <c r="J68" s="99"/>
      <c r="K68" s="177"/>
      <c r="L68" s="99"/>
      <c r="M68" s="6"/>
      <c r="N68" s="27"/>
    </row>
    <row r="69" spans="1:14" ht="22.5" x14ac:dyDescent="0.2">
      <c r="A69" s="28"/>
      <c r="B69" s="5"/>
      <c r="C69" s="3" t="str">
        <f>C94</f>
        <v xml:space="preserve">COPING </v>
      </c>
      <c r="D69" s="3"/>
      <c r="E69" s="3">
        <f>E94</f>
        <v>1</v>
      </c>
      <c r="F69" s="3">
        <v>10</v>
      </c>
      <c r="G69" s="3">
        <v>2</v>
      </c>
      <c r="H69" s="3">
        <f>H94</f>
        <v>0.1</v>
      </c>
      <c r="I69" s="14">
        <f>PRODUCT(E69:H69)</f>
        <v>2</v>
      </c>
      <c r="J69" s="99"/>
      <c r="K69" s="177"/>
      <c r="L69" s="99"/>
      <c r="M69" s="6"/>
      <c r="N69" s="27"/>
    </row>
    <row r="70" spans="1:14" ht="22.5" x14ac:dyDescent="0.2">
      <c r="A70" s="28"/>
      <c r="B70" s="5"/>
      <c r="C70" s="3"/>
      <c r="D70" s="3"/>
      <c r="E70" s="3"/>
      <c r="F70" s="3"/>
      <c r="G70" s="3"/>
      <c r="H70" s="3"/>
      <c r="I70" s="14"/>
      <c r="J70" s="99"/>
      <c r="K70" s="177"/>
      <c r="L70" s="99"/>
      <c r="M70" s="6"/>
      <c r="N70" s="27"/>
    </row>
    <row r="71" spans="1:14" ht="22.5" x14ac:dyDescent="0.2">
      <c r="A71" s="28"/>
      <c r="B71" s="5"/>
      <c r="C71" s="3"/>
      <c r="D71" s="3"/>
      <c r="E71" s="3"/>
      <c r="F71" s="3"/>
      <c r="G71" s="3"/>
      <c r="H71" s="3"/>
      <c r="I71" s="14"/>
      <c r="J71" s="99"/>
      <c r="K71" s="177"/>
      <c r="L71" s="99"/>
      <c r="M71" s="6"/>
      <c r="N71" s="27"/>
    </row>
    <row r="72" spans="1:14" ht="126" x14ac:dyDescent="0.2">
      <c r="A72" s="28">
        <v>17</v>
      </c>
      <c r="B72" s="5" t="s">
        <v>89</v>
      </c>
      <c r="C72" s="33" t="s">
        <v>90</v>
      </c>
      <c r="D72" s="3" t="s">
        <v>73</v>
      </c>
      <c r="E72" s="3"/>
      <c r="F72" s="3"/>
      <c r="G72" s="3"/>
      <c r="H72" s="3" t="s">
        <v>309</v>
      </c>
      <c r="I72" s="14">
        <f>SUM(I73)</f>
        <v>10.672000000000002</v>
      </c>
      <c r="J72" s="99">
        <v>804.25</v>
      </c>
      <c r="K72" s="177">
        <v>907.19399999999996</v>
      </c>
      <c r="L72" s="99">
        <f>J72*I72</f>
        <v>8582.9560000000019</v>
      </c>
      <c r="M72" s="6"/>
      <c r="N72" s="27"/>
    </row>
    <row r="73" spans="1:14" ht="22.5" x14ac:dyDescent="0.2">
      <c r="A73" s="28"/>
      <c r="B73" s="5"/>
      <c r="C73" s="33"/>
      <c r="D73" s="3"/>
      <c r="E73" s="3">
        <f>E91</f>
        <v>4</v>
      </c>
      <c r="F73" s="3">
        <f>F91+G91</f>
        <v>0.46</v>
      </c>
      <c r="G73" s="3">
        <v>2</v>
      </c>
      <c r="H73" s="3">
        <f>H91</f>
        <v>2.9000000000000004</v>
      </c>
      <c r="I73" s="14">
        <f>PRODUCT(E73:H73)</f>
        <v>10.672000000000002</v>
      </c>
      <c r="J73" s="99"/>
      <c r="K73" s="177"/>
      <c r="L73" s="99"/>
      <c r="M73" s="6"/>
      <c r="N73" s="27"/>
    </row>
    <row r="74" spans="1:14" ht="22.5" x14ac:dyDescent="0.2">
      <c r="A74" s="28"/>
      <c r="B74" s="5"/>
      <c r="C74" s="33"/>
      <c r="D74" s="3"/>
      <c r="E74" s="3"/>
      <c r="F74" s="3"/>
      <c r="G74" s="3"/>
      <c r="H74" s="3"/>
      <c r="I74" s="14"/>
      <c r="J74" s="99"/>
      <c r="K74" s="177"/>
      <c r="L74" s="99"/>
      <c r="M74" s="6"/>
      <c r="N74" s="27"/>
    </row>
    <row r="75" spans="1:14" ht="409.5" x14ac:dyDescent="0.2">
      <c r="A75" s="28">
        <v>18</v>
      </c>
      <c r="B75" s="5">
        <v>5.33</v>
      </c>
      <c r="C75" s="33" t="s">
        <v>312</v>
      </c>
      <c r="D75" s="3"/>
      <c r="E75" s="3"/>
      <c r="F75" s="3"/>
      <c r="G75" s="3"/>
      <c r="H75" s="3"/>
      <c r="I75" s="14"/>
      <c r="J75" s="99"/>
      <c r="K75" s="177"/>
      <c r="L75" s="99">
        <f>J75*I75</f>
        <v>0</v>
      </c>
      <c r="M75" s="6"/>
      <c r="N75" s="27"/>
    </row>
    <row r="76" spans="1:14" ht="22.5" x14ac:dyDescent="0.2">
      <c r="A76" s="28">
        <v>19</v>
      </c>
      <c r="B76" s="5" t="s">
        <v>100</v>
      </c>
      <c r="C76" s="33" t="s">
        <v>101</v>
      </c>
      <c r="D76" s="3"/>
      <c r="E76" s="3"/>
      <c r="F76" s="3"/>
      <c r="G76" s="3"/>
      <c r="H76" s="3"/>
      <c r="I76" s="14"/>
      <c r="J76" s="99"/>
      <c r="K76" s="177"/>
      <c r="L76" s="99">
        <f>J76*I76</f>
        <v>0</v>
      </c>
      <c r="M76" s="6"/>
      <c r="N76" s="27"/>
    </row>
    <row r="77" spans="1:14" ht="42" x14ac:dyDescent="0.2">
      <c r="A77" s="28"/>
      <c r="B77" s="5" t="s">
        <v>102</v>
      </c>
      <c r="C77" s="33" t="s">
        <v>313</v>
      </c>
      <c r="D77" s="3" t="s">
        <v>43</v>
      </c>
      <c r="E77" s="3"/>
      <c r="F77" s="3"/>
      <c r="G77" s="3"/>
      <c r="H77" s="3" t="s">
        <v>309</v>
      </c>
      <c r="I77" s="14">
        <f>SUM(I78:I86)</f>
        <v>2.3749800000000003</v>
      </c>
      <c r="J77" s="99">
        <v>7997.3</v>
      </c>
      <c r="K77" s="177">
        <v>6051.5569100000002</v>
      </c>
      <c r="L77" s="99">
        <f>J77*I77</f>
        <v>18993.427554000002</v>
      </c>
      <c r="M77" s="6"/>
      <c r="N77" s="27"/>
    </row>
    <row r="78" spans="1:14" ht="22.5" x14ac:dyDescent="0.2">
      <c r="A78" s="28"/>
      <c r="B78" s="5"/>
      <c r="C78" s="33" t="s">
        <v>333</v>
      </c>
      <c r="D78" s="3"/>
      <c r="E78" s="3">
        <v>4</v>
      </c>
      <c r="F78" s="3">
        <f>0.8</f>
        <v>0.8</v>
      </c>
      <c r="G78" s="3">
        <v>0.8</v>
      </c>
      <c r="H78" s="3">
        <v>0.3</v>
      </c>
      <c r="I78" s="14">
        <f>PRODUCT(E78:H78)</f>
        <v>0.76800000000000013</v>
      </c>
      <c r="J78" s="99"/>
      <c r="K78" s="177"/>
      <c r="L78" s="99"/>
      <c r="M78" s="6"/>
      <c r="N78" s="27"/>
    </row>
    <row r="79" spans="1:14" ht="22.5" x14ac:dyDescent="0.2">
      <c r="A79" s="28"/>
      <c r="B79" s="5"/>
      <c r="C79" s="33"/>
      <c r="D79" s="3"/>
      <c r="E79" s="3"/>
      <c r="F79" s="3"/>
      <c r="G79" s="3"/>
      <c r="H79" s="3"/>
      <c r="I79" s="14">
        <f>PRODUCT(E79:H79)</f>
        <v>0</v>
      </c>
      <c r="J79" s="99"/>
      <c r="K79" s="177"/>
      <c r="L79" s="99"/>
      <c r="M79" s="6"/>
      <c r="N79" s="27"/>
    </row>
    <row r="80" spans="1:14" ht="22.5" x14ac:dyDescent="0.2">
      <c r="A80" s="28"/>
      <c r="B80" s="5"/>
      <c r="C80" s="33" t="s">
        <v>347</v>
      </c>
      <c r="D80" s="3"/>
      <c r="E80" s="3">
        <v>2</v>
      </c>
      <c r="F80" s="3">
        <v>3</v>
      </c>
      <c r="G80" s="3">
        <v>0.23</v>
      </c>
      <c r="H80" s="3">
        <v>0.23</v>
      </c>
      <c r="I80" s="14">
        <f>PRODUCT(E80:H80)</f>
        <v>0.31740000000000002</v>
      </c>
      <c r="J80" s="99"/>
      <c r="K80" s="177"/>
      <c r="L80" s="99"/>
      <c r="M80" s="6"/>
      <c r="N80" s="27"/>
    </row>
    <row r="81" spans="1:14" ht="21" customHeight="1" x14ac:dyDescent="0.2">
      <c r="A81" s="28"/>
      <c r="B81" s="5"/>
      <c r="C81" s="33"/>
      <c r="D81" s="3"/>
      <c r="E81" s="3">
        <v>2</v>
      </c>
      <c r="F81" s="3">
        <v>2</v>
      </c>
      <c r="G81" s="3">
        <v>0.23</v>
      </c>
      <c r="H81" s="3">
        <v>0.23</v>
      </c>
      <c r="I81" s="14">
        <f>PRODUCT(E81:H81)</f>
        <v>0.21160000000000001</v>
      </c>
      <c r="J81" s="99"/>
      <c r="K81" s="177"/>
      <c r="L81" s="99"/>
      <c r="M81" s="6"/>
      <c r="N81" s="27"/>
    </row>
    <row r="82" spans="1:14" ht="22.5" x14ac:dyDescent="0.2">
      <c r="A82" s="28"/>
      <c r="B82" s="5"/>
      <c r="C82" s="33" t="s">
        <v>348</v>
      </c>
      <c r="D82" s="3"/>
      <c r="E82" s="3"/>
      <c r="F82" s="3"/>
      <c r="G82" s="3"/>
      <c r="H82" s="3"/>
      <c r="I82" s="14"/>
      <c r="J82" s="99"/>
      <c r="K82" s="177"/>
      <c r="L82" s="99"/>
      <c r="M82" s="6"/>
      <c r="N82" s="27"/>
    </row>
    <row r="83" spans="1:14" ht="22.5" x14ac:dyDescent="0.2">
      <c r="A83" s="28"/>
      <c r="B83" s="5"/>
      <c r="C83" s="33" t="s">
        <v>349</v>
      </c>
      <c r="D83" s="3"/>
      <c r="E83" s="3">
        <f>E78</f>
        <v>4</v>
      </c>
      <c r="F83" s="3">
        <v>0.23</v>
      </c>
      <c r="G83" s="3">
        <v>0.23</v>
      </c>
      <c r="H83" s="3">
        <f>1.5-0.3-0.1</f>
        <v>1.0999999999999999</v>
      </c>
      <c r="I83" s="14">
        <f>PRODUCT(E83:H83)</f>
        <v>0.23275999999999999</v>
      </c>
      <c r="J83" s="99"/>
      <c r="K83" s="177"/>
      <c r="L83" s="99"/>
      <c r="M83" s="6"/>
      <c r="N83" s="27"/>
    </row>
    <row r="84" spans="1:14" ht="22.5" x14ac:dyDescent="0.2">
      <c r="A84" s="28"/>
      <c r="B84" s="5"/>
      <c r="C84" s="33"/>
      <c r="D84" s="3"/>
      <c r="E84" s="3"/>
      <c r="F84" s="3"/>
      <c r="G84" s="3"/>
      <c r="H84" s="3"/>
      <c r="I84" s="14"/>
      <c r="J84" s="99"/>
      <c r="K84" s="177"/>
      <c r="L84" s="99"/>
      <c r="M84" s="6"/>
      <c r="N84" s="27"/>
    </row>
    <row r="85" spans="1:14" ht="22.5" x14ac:dyDescent="0.2">
      <c r="A85" s="28"/>
      <c r="B85" s="5"/>
      <c r="C85" s="33" t="s">
        <v>350</v>
      </c>
      <c r="D85" s="3"/>
      <c r="E85" s="3">
        <f>E83</f>
        <v>4</v>
      </c>
      <c r="F85" s="3">
        <f>F83</f>
        <v>0.23</v>
      </c>
      <c r="G85" s="3">
        <f>G83</f>
        <v>0.23</v>
      </c>
      <c r="H85" s="3">
        <v>0.45</v>
      </c>
      <c r="I85" s="14">
        <f>PRODUCT(E85:H85)</f>
        <v>9.5220000000000013E-2</v>
      </c>
      <c r="J85" s="99"/>
      <c r="K85" s="177"/>
      <c r="L85" s="99"/>
      <c r="M85" s="6"/>
      <c r="N85" s="27"/>
    </row>
    <row r="86" spans="1:14" ht="22.5" x14ac:dyDescent="0.2">
      <c r="A86" s="28"/>
      <c r="B86" s="5"/>
      <c r="C86" s="33" t="s">
        <v>410</v>
      </c>
      <c r="D86" s="3"/>
      <c r="E86" s="3">
        <v>1</v>
      </c>
      <c r="F86" s="3">
        <v>2</v>
      </c>
      <c r="G86" s="3">
        <v>3</v>
      </c>
      <c r="H86" s="3">
        <v>0.125</v>
      </c>
      <c r="I86" s="14">
        <f>PRODUCT(E86:H86)</f>
        <v>0.75</v>
      </c>
      <c r="J86" s="99"/>
      <c r="K86" s="177"/>
      <c r="L86" s="99"/>
      <c r="M86" s="6"/>
      <c r="N86" s="27"/>
    </row>
    <row r="87" spans="1:14" ht="22.5" x14ac:dyDescent="0.2">
      <c r="A87" s="28"/>
      <c r="B87" s="5"/>
      <c r="C87" s="33"/>
      <c r="D87" s="3"/>
      <c r="E87" s="3"/>
      <c r="F87" s="3"/>
      <c r="G87" s="3"/>
      <c r="H87" s="3"/>
      <c r="I87" s="14"/>
      <c r="J87" s="99"/>
      <c r="K87" s="177"/>
      <c r="L87" s="99"/>
      <c r="M87" s="6"/>
      <c r="N87" s="27"/>
    </row>
    <row r="88" spans="1:14" ht="42" hidden="1" x14ac:dyDescent="0.2">
      <c r="A88" s="28"/>
      <c r="B88" s="5" t="s">
        <v>104</v>
      </c>
      <c r="C88" s="33" t="s">
        <v>315</v>
      </c>
      <c r="D88" s="3" t="s">
        <v>43</v>
      </c>
      <c r="E88" s="3"/>
      <c r="F88" s="3"/>
      <c r="G88" s="3"/>
      <c r="H88" s="3"/>
      <c r="I88" s="14"/>
      <c r="J88" s="99">
        <v>8599.35</v>
      </c>
      <c r="K88" s="177">
        <v>6262.0466699999997</v>
      </c>
      <c r="L88" s="99">
        <f>J88*I88</f>
        <v>0</v>
      </c>
      <c r="M88" s="6"/>
      <c r="N88" s="27"/>
    </row>
    <row r="89" spans="1:14" ht="22.5" x14ac:dyDescent="0.2">
      <c r="A89" s="28">
        <v>20</v>
      </c>
      <c r="B89" s="5" t="s">
        <v>106</v>
      </c>
      <c r="C89" s="33" t="s">
        <v>107</v>
      </c>
      <c r="D89" s="3"/>
      <c r="E89" s="3"/>
      <c r="F89" s="3"/>
      <c r="G89" s="3"/>
      <c r="H89" s="3"/>
      <c r="I89" s="14"/>
      <c r="J89" s="99"/>
      <c r="K89" s="177">
        <v>0</v>
      </c>
      <c r="L89" s="99">
        <f>J89*I89</f>
        <v>0</v>
      </c>
      <c r="M89" s="6"/>
      <c r="N89" s="27"/>
    </row>
    <row r="90" spans="1:14" ht="42" x14ac:dyDescent="0.2">
      <c r="A90" s="28"/>
      <c r="B90" s="5" t="s">
        <v>108</v>
      </c>
      <c r="C90" s="33" t="s">
        <v>313</v>
      </c>
      <c r="D90" s="3" t="s">
        <v>43</v>
      </c>
      <c r="E90" s="3"/>
      <c r="F90" s="3"/>
      <c r="G90" s="3"/>
      <c r="H90" s="3" t="s">
        <v>309</v>
      </c>
      <c r="I90" s="14">
        <f>SUM(I91:I99)</f>
        <v>2.50569</v>
      </c>
      <c r="J90" s="99">
        <v>10080.15</v>
      </c>
      <c r="K90" s="177">
        <v>6660.9631200000003</v>
      </c>
      <c r="L90" s="99">
        <f>J90*I90</f>
        <v>25257.7310535</v>
      </c>
      <c r="M90" s="6"/>
      <c r="N90" s="27"/>
    </row>
    <row r="91" spans="1:14" ht="22.5" x14ac:dyDescent="0.2">
      <c r="A91" s="28"/>
      <c r="B91" s="5"/>
      <c r="C91" s="33" t="s">
        <v>398</v>
      </c>
      <c r="D91" s="3"/>
      <c r="E91" s="3">
        <f>E85</f>
        <v>4</v>
      </c>
      <c r="F91" s="3">
        <v>0.23</v>
      </c>
      <c r="G91" s="3">
        <v>0.23</v>
      </c>
      <c r="H91" s="3">
        <f>3.2-0.3</f>
        <v>2.9000000000000004</v>
      </c>
      <c r="I91" s="14">
        <f>PRODUCT(E91:H91)</f>
        <v>0.61364000000000007</v>
      </c>
      <c r="J91" s="99"/>
      <c r="K91" s="177"/>
      <c r="L91" s="99"/>
      <c r="M91" s="6"/>
      <c r="N91" s="27"/>
    </row>
    <row r="92" spans="1:14" ht="22.5" x14ac:dyDescent="0.2">
      <c r="A92" s="28"/>
      <c r="B92" s="5"/>
      <c r="C92" s="33" t="s">
        <v>411</v>
      </c>
      <c r="D92" s="3"/>
      <c r="E92" s="3">
        <v>1</v>
      </c>
      <c r="F92" s="3">
        <v>10</v>
      </c>
      <c r="G92" s="3">
        <v>0.23</v>
      </c>
      <c r="H92" s="3">
        <v>0.3</v>
      </c>
      <c r="I92" s="14">
        <f>PRODUCT(E92:H92)</f>
        <v>0.69000000000000006</v>
      </c>
      <c r="J92" s="99"/>
      <c r="K92" s="177"/>
      <c r="L92" s="99"/>
      <c r="M92" s="6"/>
      <c r="N92" s="27"/>
    </row>
    <row r="93" spans="1:14" ht="22.5" x14ac:dyDescent="0.2">
      <c r="A93" s="28"/>
      <c r="B93" s="5"/>
      <c r="C93" s="33"/>
      <c r="D93" s="3"/>
      <c r="E93" s="3"/>
      <c r="F93" s="3"/>
      <c r="G93" s="3"/>
      <c r="H93" s="3"/>
      <c r="I93" s="14"/>
      <c r="J93" s="99"/>
      <c r="K93" s="177"/>
      <c r="L93" s="99"/>
      <c r="M93" s="6"/>
      <c r="N93" s="27"/>
    </row>
    <row r="94" spans="1:14" ht="22.5" x14ac:dyDescent="0.2">
      <c r="A94" s="28"/>
      <c r="B94" s="5"/>
      <c r="C94" s="33" t="s">
        <v>390</v>
      </c>
      <c r="D94" s="3"/>
      <c r="E94" s="3">
        <v>1</v>
      </c>
      <c r="F94" s="3">
        <f>F92</f>
        <v>10</v>
      </c>
      <c r="G94" s="3">
        <v>0.2</v>
      </c>
      <c r="H94" s="3">
        <v>0.1</v>
      </c>
      <c r="I94" s="14">
        <f>PRODUCT(E94:H94)</f>
        <v>0.2</v>
      </c>
      <c r="J94" s="99"/>
      <c r="K94" s="177"/>
      <c r="L94" s="99"/>
      <c r="M94" s="6"/>
      <c r="N94" s="27"/>
    </row>
    <row r="95" spans="1:14" ht="22.5" x14ac:dyDescent="0.2">
      <c r="A95" s="28"/>
      <c r="B95" s="5"/>
      <c r="C95" s="33" t="s">
        <v>401</v>
      </c>
      <c r="D95" s="3"/>
      <c r="E95" s="3">
        <v>1</v>
      </c>
      <c r="F95" s="3">
        <v>2</v>
      </c>
      <c r="G95" s="3">
        <v>3</v>
      </c>
      <c r="H95" s="3">
        <v>0.11</v>
      </c>
      <c r="I95" s="14">
        <f>PRODUCT(E95:H95)</f>
        <v>0.66</v>
      </c>
      <c r="J95" s="99"/>
      <c r="K95" s="177"/>
      <c r="L95" s="99"/>
      <c r="M95" s="6"/>
      <c r="N95" s="27"/>
    </row>
    <row r="96" spans="1:14" ht="22.5" x14ac:dyDescent="0.2">
      <c r="A96" s="28"/>
      <c r="B96" s="5"/>
      <c r="C96" s="33"/>
      <c r="D96" s="3"/>
      <c r="E96" s="3">
        <f>E91</f>
        <v>4</v>
      </c>
      <c r="F96" s="3">
        <f>F91</f>
        <v>0.23</v>
      </c>
      <c r="G96" s="3">
        <f>G91</f>
        <v>0.23</v>
      </c>
      <c r="H96" s="3">
        <v>0.5</v>
      </c>
      <c r="I96" s="14">
        <f>PRODUCT(E96:H96)</f>
        <v>0.10580000000000001</v>
      </c>
      <c r="J96" s="99"/>
      <c r="K96" s="177"/>
      <c r="L96" s="99"/>
      <c r="M96" s="6"/>
      <c r="N96" s="27"/>
    </row>
    <row r="97" spans="1:14" ht="22.5" x14ac:dyDescent="0.2">
      <c r="A97" s="28"/>
      <c r="B97" s="5"/>
      <c r="C97" s="33" t="s">
        <v>412</v>
      </c>
      <c r="D97" s="3"/>
      <c r="E97" s="3">
        <v>1</v>
      </c>
      <c r="F97" s="3">
        <v>2.1</v>
      </c>
      <c r="G97" s="3">
        <v>0.9</v>
      </c>
      <c r="H97" s="3">
        <v>0.125</v>
      </c>
      <c r="I97" s="14">
        <f>PRODUCT(E97:H97)</f>
        <v>0.23625000000000002</v>
      </c>
      <c r="J97" s="99"/>
      <c r="K97" s="177"/>
      <c r="L97" s="99"/>
      <c r="M97" s="6"/>
      <c r="N97" s="27"/>
    </row>
    <row r="98" spans="1:14" ht="42" hidden="1" x14ac:dyDescent="0.2">
      <c r="A98" s="28"/>
      <c r="B98" s="5" t="s">
        <v>109</v>
      </c>
      <c r="C98" s="33" t="s">
        <v>315</v>
      </c>
      <c r="D98" s="3" t="s">
        <v>43</v>
      </c>
      <c r="E98" s="3"/>
      <c r="F98" s="3"/>
      <c r="G98" s="3"/>
      <c r="H98" s="3"/>
      <c r="I98" s="14"/>
      <c r="J98" s="99">
        <v>10221.700000000001</v>
      </c>
      <c r="K98" s="177">
        <v>6870.0045700000001</v>
      </c>
      <c r="L98" s="99">
        <f>J98*I98</f>
        <v>0</v>
      </c>
      <c r="M98" s="6"/>
      <c r="N98" s="27"/>
    </row>
    <row r="99" spans="1:14" ht="22.5" x14ac:dyDescent="0.2">
      <c r="A99" s="28"/>
      <c r="B99" s="5"/>
      <c r="C99" s="33"/>
      <c r="D99" s="3"/>
      <c r="E99" s="3"/>
      <c r="F99" s="3"/>
      <c r="G99" s="3"/>
      <c r="H99" s="3"/>
      <c r="I99" s="14"/>
      <c r="J99" s="99"/>
      <c r="K99" s="177"/>
      <c r="L99" s="99"/>
      <c r="M99" s="6"/>
      <c r="N99" s="27"/>
    </row>
    <row r="100" spans="1:14" ht="105" x14ac:dyDescent="0.2">
      <c r="A100" s="28">
        <v>21</v>
      </c>
      <c r="B100" s="5">
        <v>5.22</v>
      </c>
      <c r="C100" s="33" t="s">
        <v>316</v>
      </c>
      <c r="D100" s="8"/>
      <c r="E100" s="8"/>
      <c r="F100" s="8"/>
      <c r="G100" s="8"/>
      <c r="H100" s="8"/>
      <c r="I100" s="14"/>
      <c r="J100" s="99"/>
      <c r="K100" s="177">
        <v>0</v>
      </c>
      <c r="L100" s="99">
        <f>J100*I100</f>
        <v>0</v>
      </c>
      <c r="M100" s="6"/>
      <c r="N100" s="27"/>
    </row>
    <row r="101" spans="1:14" ht="42" x14ac:dyDescent="0.2">
      <c r="A101" s="28"/>
      <c r="B101" s="5" t="s">
        <v>110</v>
      </c>
      <c r="C101" s="33" t="s">
        <v>111</v>
      </c>
      <c r="D101" s="3" t="s">
        <v>112</v>
      </c>
      <c r="E101" s="3"/>
      <c r="F101" s="3"/>
      <c r="G101" s="3"/>
      <c r="H101" s="3" t="s">
        <v>309</v>
      </c>
      <c r="I101" s="35">
        <f>SUM(I102)</f>
        <v>341.64690000000002</v>
      </c>
      <c r="J101" s="99">
        <v>89.65</v>
      </c>
      <c r="K101" s="177">
        <v>90.716835000000003</v>
      </c>
      <c r="L101" s="99">
        <f>J101*I101</f>
        <v>30628.644585000002</v>
      </c>
      <c r="M101" s="6"/>
      <c r="N101" s="27"/>
    </row>
    <row r="102" spans="1:14" ht="22.5" x14ac:dyDescent="0.2">
      <c r="A102" s="28"/>
      <c r="B102" s="5"/>
      <c r="C102" s="33"/>
      <c r="D102" s="3"/>
      <c r="E102" s="3">
        <v>70</v>
      </c>
      <c r="F102" s="3"/>
      <c r="H102" s="14">
        <f>I90+I77</f>
        <v>4.8806700000000003</v>
      </c>
      <c r="I102" s="14">
        <f>PRODUCT(E102:H102)</f>
        <v>341.64690000000002</v>
      </c>
      <c r="J102" s="99"/>
      <c r="K102" s="177"/>
      <c r="L102" s="99"/>
      <c r="M102" s="6"/>
      <c r="N102" s="27"/>
    </row>
    <row r="103" spans="1:14" ht="105" x14ac:dyDescent="0.2">
      <c r="A103" s="28">
        <v>22</v>
      </c>
      <c r="B103" s="5" t="s">
        <v>113</v>
      </c>
      <c r="C103" s="33" t="s">
        <v>317</v>
      </c>
      <c r="D103" s="3"/>
      <c r="E103" s="3"/>
      <c r="F103" s="3"/>
      <c r="G103" s="3"/>
      <c r="H103" s="3"/>
      <c r="I103" s="35"/>
      <c r="J103" s="99"/>
      <c r="K103" s="177">
        <v>0</v>
      </c>
      <c r="L103" s="99">
        <f>J103*I103</f>
        <v>0</v>
      </c>
      <c r="M103" s="6"/>
      <c r="N103" s="27"/>
    </row>
    <row r="104" spans="1:14" ht="42" x14ac:dyDescent="0.2">
      <c r="A104" s="28">
        <v>23</v>
      </c>
      <c r="B104" s="5" t="s">
        <v>114</v>
      </c>
      <c r="C104" s="33" t="s">
        <v>111</v>
      </c>
      <c r="D104" s="3" t="s">
        <v>112</v>
      </c>
      <c r="E104" s="3"/>
      <c r="F104" s="3"/>
      <c r="G104" s="3"/>
      <c r="H104" s="3"/>
      <c r="I104" s="276"/>
      <c r="J104" s="99">
        <v>89.65</v>
      </c>
      <c r="K104" s="177">
        <v>90.716835000000003</v>
      </c>
      <c r="L104" s="99">
        <f>J104*I104</f>
        <v>0</v>
      </c>
      <c r="M104" s="6"/>
      <c r="N104" s="27"/>
    </row>
    <row r="105" spans="1:14" ht="105" x14ac:dyDescent="0.2">
      <c r="A105" s="28">
        <v>24</v>
      </c>
      <c r="B105" s="5">
        <v>4.7</v>
      </c>
      <c r="C105" s="33" t="s">
        <v>377</v>
      </c>
      <c r="D105" s="3"/>
      <c r="E105" s="3"/>
      <c r="F105" s="3" t="s">
        <v>378</v>
      </c>
      <c r="G105" s="3"/>
      <c r="H105" s="3"/>
      <c r="I105" s="35"/>
      <c r="J105" s="99"/>
      <c r="K105" s="177">
        <v>0</v>
      </c>
      <c r="L105" s="99">
        <f>J105*I105</f>
        <v>0</v>
      </c>
      <c r="M105" s="6"/>
      <c r="N105" s="27"/>
    </row>
    <row r="106" spans="1:14" ht="63" customHeight="1" x14ac:dyDescent="0.2">
      <c r="A106" s="28">
        <v>25</v>
      </c>
      <c r="B106" s="5" t="s">
        <v>116</v>
      </c>
      <c r="C106" s="33" t="s">
        <v>364</v>
      </c>
      <c r="D106" s="3" t="s">
        <v>43</v>
      </c>
      <c r="E106" s="3"/>
      <c r="F106" s="3"/>
      <c r="G106" s="3"/>
      <c r="H106" s="3" t="s">
        <v>309</v>
      </c>
      <c r="I106" s="14">
        <f>SUM(I107:I110)</f>
        <v>4.5579999999999998</v>
      </c>
      <c r="J106" s="99">
        <v>15762.45</v>
      </c>
      <c r="K106" s="177">
        <v>8448.6731999999993</v>
      </c>
      <c r="L106" s="99">
        <f>J106*I106</f>
        <v>71845.247100000008</v>
      </c>
      <c r="M106" s="6"/>
      <c r="N106" s="27"/>
    </row>
    <row r="107" spans="1:14" ht="22.5" x14ac:dyDescent="0.2">
      <c r="A107" s="28"/>
      <c r="B107" s="5"/>
      <c r="C107" s="33" t="s">
        <v>379</v>
      </c>
      <c r="D107" s="3"/>
      <c r="E107" s="3">
        <v>1</v>
      </c>
      <c r="F107" s="3">
        <f>F94</f>
        <v>10</v>
      </c>
      <c r="G107" s="3">
        <v>0.2</v>
      </c>
      <c r="H107" s="3">
        <f>3-0.3-0.1</f>
        <v>2.6</v>
      </c>
      <c r="I107" s="14">
        <f>PRODUCT(E107:H107)</f>
        <v>5.2</v>
      </c>
      <c r="J107" s="99"/>
      <c r="K107" s="177"/>
      <c r="L107" s="99"/>
      <c r="M107" s="6"/>
      <c r="N107" s="27"/>
    </row>
    <row r="108" spans="1:14" ht="22.5" x14ac:dyDescent="0.2">
      <c r="A108" s="28"/>
      <c r="B108" s="5"/>
      <c r="C108" s="33" t="s">
        <v>413</v>
      </c>
      <c r="D108" s="3"/>
      <c r="E108" s="3"/>
      <c r="F108" s="3"/>
      <c r="G108" s="3"/>
      <c r="H108" s="3"/>
      <c r="I108" s="14"/>
      <c r="J108" s="99"/>
      <c r="K108" s="177"/>
      <c r="L108" s="99"/>
      <c r="M108" s="6"/>
      <c r="N108" s="27"/>
    </row>
    <row r="109" spans="1:14" ht="22.5" x14ac:dyDescent="0.2">
      <c r="A109" s="28"/>
      <c r="B109" s="5"/>
      <c r="C109" s="33" t="s">
        <v>414</v>
      </c>
      <c r="D109" s="3"/>
      <c r="E109" s="3">
        <v>1</v>
      </c>
      <c r="F109" s="3">
        <v>0.9</v>
      </c>
      <c r="G109" s="3">
        <v>-0.2</v>
      </c>
      <c r="H109" s="3">
        <v>2.1</v>
      </c>
      <c r="I109" s="14">
        <f>PRODUCT(E109:H109)</f>
        <v>-0.37800000000000006</v>
      </c>
      <c r="J109" s="99"/>
      <c r="K109" s="177"/>
      <c r="L109" s="99"/>
      <c r="M109" s="6"/>
      <c r="N109" s="27"/>
    </row>
    <row r="110" spans="1:14" ht="22.5" x14ac:dyDescent="0.2">
      <c r="A110" s="28"/>
      <c r="B110" s="5"/>
      <c r="C110" s="33" t="s">
        <v>415</v>
      </c>
      <c r="D110" s="3"/>
      <c r="E110" s="3">
        <v>1</v>
      </c>
      <c r="F110" s="3">
        <v>1.2</v>
      </c>
      <c r="G110" s="3">
        <v>-0.2</v>
      </c>
      <c r="H110" s="3">
        <v>1.1000000000000001</v>
      </c>
      <c r="I110" s="14">
        <f>PRODUCT(E110:H110)</f>
        <v>-0.26400000000000001</v>
      </c>
      <c r="J110" s="99"/>
      <c r="K110" s="177"/>
      <c r="L110" s="99"/>
      <c r="M110" s="6"/>
      <c r="N110" s="27"/>
    </row>
    <row r="111" spans="1:14" ht="22.5" x14ac:dyDescent="0.2">
      <c r="A111" s="28"/>
      <c r="B111" s="5"/>
      <c r="C111" s="33"/>
      <c r="D111" s="3"/>
      <c r="E111" s="3"/>
      <c r="F111" s="3"/>
      <c r="G111" s="3"/>
      <c r="H111" s="3"/>
      <c r="I111" s="14"/>
      <c r="J111" s="99"/>
      <c r="K111" s="177"/>
      <c r="L111" s="99"/>
      <c r="M111" s="6"/>
      <c r="N111" s="27"/>
    </row>
    <row r="112" spans="1:14" ht="105" x14ac:dyDescent="0.2">
      <c r="A112" s="28">
        <v>26</v>
      </c>
      <c r="B112" s="5">
        <v>6.13</v>
      </c>
      <c r="C112" s="33" t="s">
        <v>380</v>
      </c>
      <c r="D112" s="3" t="s">
        <v>73</v>
      </c>
      <c r="E112" s="3"/>
      <c r="F112" s="3"/>
      <c r="G112" s="3"/>
      <c r="H112" s="3"/>
      <c r="I112" s="14"/>
      <c r="J112" s="99"/>
      <c r="K112" s="177"/>
      <c r="L112" s="99">
        <f>J112*I112</f>
        <v>0</v>
      </c>
      <c r="M112" s="6"/>
      <c r="N112" s="27"/>
    </row>
    <row r="113" spans="1:14" ht="22.5" x14ac:dyDescent="0.2">
      <c r="A113" s="28"/>
      <c r="B113" s="5" t="s">
        <v>119</v>
      </c>
      <c r="C113" s="33" t="s">
        <v>120</v>
      </c>
      <c r="D113" s="3" t="s">
        <v>73</v>
      </c>
      <c r="E113" s="3"/>
      <c r="F113" s="3"/>
      <c r="G113" s="3"/>
      <c r="H113" s="3"/>
      <c r="I113" s="14"/>
      <c r="J113" s="99">
        <v>1018.05</v>
      </c>
      <c r="K113" s="177">
        <v>1128.915645</v>
      </c>
      <c r="L113" s="99">
        <f>J113*I113</f>
        <v>0</v>
      </c>
      <c r="M113" s="6"/>
      <c r="N113" s="27"/>
    </row>
    <row r="114" spans="1:14" ht="202.5" x14ac:dyDescent="0.2">
      <c r="A114" s="28">
        <v>27</v>
      </c>
      <c r="B114" s="5">
        <v>13</v>
      </c>
      <c r="C114" s="15" t="s">
        <v>121</v>
      </c>
      <c r="D114" s="3"/>
      <c r="E114" s="3"/>
      <c r="F114" s="3"/>
      <c r="G114" s="3"/>
      <c r="H114" s="3"/>
      <c r="I114" s="14"/>
      <c r="J114" s="99"/>
      <c r="K114" s="177">
        <v>0</v>
      </c>
      <c r="L114" s="99">
        <f>J114*I114</f>
        <v>0</v>
      </c>
      <c r="M114" s="6"/>
      <c r="N114" s="27"/>
    </row>
    <row r="115" spans="1:14" ht="22.5" x14ac:dyDescent="0.2">
      <c r="A115" s="28"/>
      <c r="B115" s="5">
        <v>13.1</v>
      </c>
      <c r="C115" s="33" t="s">
        <v>122</v>
      </c>
      <c r="D115" s="3"/>
      <c r="E115" s="3"/>
      <c r="F115" s="3"/>
      <c r="G115" s="3"/>
      <c r="H115" s="3"/>
      <c r="I115" s="14"/>
      <c r="J115" s="99"/>
      <c r="K115" s="177">
        <v>0</v>
      </c>
      <c r="L115" s="99">
        <f>J115*I115</f>
        <v>0</v>
      </c>
      <c r="M115" s="6"/>
      <c r="N115" s="27"/>
    </row>
    <row r="116" spans="1:14" ht="22.5" x14ac:dyDescent="0.2">
      <c r="A116" s="36"/>
      <c r="B116" s="5" t="s">
        <v>123</v>
      </c>
      <c r="C116" s="33" t="s">
        <v>124</v>
      </c>
      <c r="D116" s="3" t="s">
        <v>73</v>
      </c>
      <c r="E116" s="3"/>
      <c r="F116" s="3"/>
      <c r="G116" s="3"/>
      <c r="H116" s="3" t="s">
        <v>309</v>
      </c>
      <c r="I116" s="14">
        <f>SUM(I117:I121)</f>
        <v>25.79</v>
      </c>
      <c r="J116" s="99">
        <v>294.85000000000002</v>
      </c>
      <c r="K116" s="177">
        <v>478.24669999999998</v>
      </c>
      <c r="L116" s="99">
        <f>J116*I116</f>
        <v>7604.1815000000006</v>
      </c>
      <c r="M116" s="6"/>
      <c r="N116" s="27"/>
    </row>
    <row r="117" spans="1:14" ht="22.5" x14ac:dyDescent="0.2">
      <c r="A117" s="36"/>
      <c r="B117" s="5"/>
      <c r="C117" s="33" t="str">
        <f>C107</f>
        <v xml:space="preserve">OUTER PERIFERI </v>
      </c>
      <c r="D117" s="3"/>
      <c r="E117" s="33">
        <f>E107</f>
        <v>1</v>
      </c>
      <c r="F117" s="33">
        <f>F107</f>
        <v>10</v>
      </c>
      <c r="G117" s="3"/>
      <c r="H117" s="33">
        <f>H107+0.3</f>
        <v>2.9</v>
      </c>
      <c r="I117" s="14">
        <f>PRODUCT(E117:H117)</f>
        <v>29</v>
      </c>
      <c r="J117" s="99"/>
      <c r="K117" s="177"/>
      <c r="L117" s="99"/>
      <c r="M117" s="6"/>
      <c r="N117" s="27"/>
    </row>
    <row r="118" spans="1:14" ht="22.5" x14ac:dyDescent="0.2">
      <c r="A118" s="36"/>
      <c r="B118" s="5"/>
      <c r="C118" s="33" t="str">
        <f>C108</f>
        <v xml:space="preserve">DEDUCTION OF DOOR </v>
      </c>
      <c r="D118" s="3"/>
      <c r="E118" s="33"/>
      <c r="F118" s="33"/>
      <c r="G118" s="3"/>
      <c r="H118" s="33"/>
      <c r="I118" s="14"/>
      <c r="J118" s="99"/>
      <c r="K118" s="177"/>
      <c r="L118" s="99"/>
      <c r="M118" s="6"/>
      <c r="N118" s="27"/>
    </row>
    <row r="119" spans="1:14" ht="22.5" x14ac:dyDescent="0.2">
      <c r="A119" s="36"/>
      <c r="B119" s="5"/>
      <c r="C119" s="33" t="str">
        <f>C109</f>
        <v>D3</v>
      </c>
      <c r="D119" s="3"/>
      <c r="E119" s="33">
        <f>E109</f>
        <v>1</v>
      </c>
      <c r="F119" s="33">
        <f>F109</f>
        <v>0.9</v>
      </c>
      <c r="G119" s="3">
        <v>-1</v>
      </c>
      <c r="H119" s="33">
        <f>H109</f>
        <v>2.1</v>
      </c>
      <c r="I119" s="14">
        <f>PRODUCT(E119:H119)</f>
        <v>-1.8900000000000001</v>
      </c>
      <c r="J119" s="99"/>
      <c r="K119" s="177"/>
      <c r="L119" s="99"/>
      <c r="M119" s="6"/>
      <c r="N119" s="27"/>
    </row>
    <row r="120" spans="1:14" ht="22.5" x14ac:dyDescent="0.2">
      <c r="A120" s="36"/>
      <c r="B120" s="5"/>
      <c r="C120" s="33" t="str">
        <f>C110</f>
        <v>W</v>
      </c>
      <c r="D120" s="3"/>
      <c r="E120" s="33">
        <v>1</v>
      </c>
      <c r="F120" s="33">
        <f>F110</f>
        <v>1.2</v>
      </c>
      <c r="G120" s="3">
        <v>-1</v>
      </c>
      <c r="H120" s="33">
        <f>H110</f>
        <v>1.1000000000000001</v>
      </c>
      <c r="I120" s="14">
        <f>PRODUCT(E120:H120)</f>
        <v>-1.32</v>
      </c>
      <c r="J120" s="99"/>
      <c r="K120" s="177"/>
      <c r="L120" s="99"/>
      <c r="M120" s="6"/>
      <c r="N120" s="27"/>
    </row>
    <row r="121" spans="1:14" ht="22.5" x14ac:dyDescent="0.2">
      <c r="A121" s="36"/>
      <c r="B121" s="5"/>
      <c r="C121" s="33"/>
      <c r="D121" s="3"/>
      <c r="E121" s="33"/>
      <c r="F121" s="33"/>
      <c r="G121" s="3"/>
      <c r="H121" s="33"/>
      <c r="I121" s="14"/>
      <c r="J121" s="99"/>
      <c r="K121" s="177"/>
      <c r="L121" s="99"/>
      <c r="M121" s="6"/>
      <c r="N121" s="27"/>
    </row>
    <row r="122" spans="1:14" ht="22.5" x14ac:dyDescent="0.2">
      <c r="A122" s="36"/>
      <c r="B122" s="5"/>
      <c r="C122" s="33"/>
      <c r="D122" s="3"/>
      <c r="E122" s="3"/>
      <c r="F122" s="3"/>
      <c r="G122" s="3"/>
      <c r="H122" s="3"/>
      <c r="I122" s="14"/>
      <c r="J122" s="99"/>
      <c r="K122" s="177"/>
      <c r="L122" s="99"/>
      <c r="M122" s="6"/>
      <c r="N122" s="27"/>
    </row>
    <row r="123" spans="1:14" ht="162" x14ac:dyDescent="0.2">
      <c r="A123" s="36">
        <v>28</v>
      </c>
      <c r="B123" s="5"/>
      <c r="C123" s="15" t="s">
        <v>416</v>
      </c>
      <c r="D123" s="3"/>
      <c r="E123" s="3"/>
      <c r="F123" s="3"/>
      <c r="G123" s="3"/>
      <c r="H123" s="3"/>
      <c r="I123" s="14"/>
      <c r="J123" s="99"/>
      <c r="K123" s="177">
        <v>0</v>
      </c>
      <c r="L123" s="99">
        <f>J123*I123</f>
        <v>0</v>
      </c>
      <c r="M123" s="6"/>
      <c r="N123" s="27"/>
    </row>
    <row r="124" spans="1:14" ht="22.5" x14ac:dyDescent="0.2">
      <c r="A124" s="36"/>
      <c r="B124" s="5">
        <v>13.3</v>
      </c>
      <c r="C124" s="37" t="s">
        <v>126</v>
      </c>
      <c r="D124" s="3"/>
      <c r="E124" s="3"/>
      <c r="F124" s="3"/>
      <c r="G124" s="3"/>
      <c r="H124" s="3"/>
      <c r="I124" s="14"/>
      <c r="J124" s="99"/>
      <c r="K124" s="177">
        <v>0</v>
      </c>
      <c r="L124" s="99">
        <f>J124*I124</f>
        <v>0</v>
      </c>
      <c r="M124" s="6"/>
      <c r="N124" s="27"/>
    </row>
    <row r="125" spans="1:14" ht="22.5" x14ac:dyDescent="0.2">
      <c r="A125" s="36"/>
      <c r="B125" s="5" t="s">
        <v>127</v>
      </c>
      <c r="C125" s="33" t="s">
        <v>124</v>
      </c>
      <c r="D125" s="3" t="s">
        <v>73</v>
      </c>
      <c r="E125" s="3"/>
      <c r="F125" s="3"/>
      <c r="G125" s="3"/>
      <c r="H125" s="3" t="s">
        <v>309</v>
      </c>
      <c r="I125" s="14">
        <f>SUM(I126:I129)</f>
        <v>25.79</v>
      </c>
      <c r="J125" s="99">
        <v>402.15</v>
      </c>
      <c r="K125" s="177">
        <v>633.90904499999999</v>
      </c>
      <c r="L125" s="99">
        <f>J125*I125</f>
        <v>10371.448499999999</v>
      </c>
      <c r="M125" s="6"/>
      <c r="N125" s="27"/>
    </row>
    <row r="126" spans="1:14" ht="22.5" x14ac:dyDescent="0.2">
      <c r="A126" s="36"/>
      <c r="B126" s="5"/>
      <c r="C126" s="33" t="str">
        <f>C117</f>
        <v xml:space="preserve">OUTER PERIFERI </v>
      </c>
      <c r="D126" s="3"/>
      <c r="E126" s="33">
        <f>E117</f>
        <v>1</v>
      </c>
      <c r="F126" s="33">
        <f>F117</f>
        <v>10</v>
      </c>
      <c r="G126" s="3"/>
      <c r="H126" s="33">
        <f>H117</f>
        <v>2.9</v>
      </c>
      <c r="I126" s="14">
        <f>PRODUCT(E126:H126)</f>
        <v>29</v>
      </c>
      <c r="J126" s="99"/>
      <c r="K126" s="177"/>
      <c r="L126" s="99"/>
      <c r="M126" s="6"/>
      <c r="N126" s="27"/>
    </row>
    <row r="127" spans="1:14" ht="22.5" x14ac:dyDescent="0.2">
      <c r="A127" s="36"/>
      <c r="B127" s="5"/>
      <c r="C127" s="33" t="str">
        <f>C118</f>
        <v xml:space="preserve">DEDUCTION OF DOOR </v>
      </c>
      <c r="D127" s="3"/>
      <c r="E127" s="33"/>
      <c r="F127" s="33"/>
      <c r="G127" s="3"/>
      <c r="H127" s="33"/>
      <c r="I127" s="14"/>
      <c r="J127" s="99"/>
      <c r="K127" s="177"/>
      <c r="L127" s="99"/>
      <c r="M127" s="6"/>
      <c r="N127" s="27"/>
    </row>
    <row r="128" spans="1:14" ht="22.5" x14ac:dyDescent="0.2">
      <c r="A128" s="36"/>
      <c r="B128" s="5"/>
      <c r="C128" s="33" t="str">
        <f>C119</f>
        <v>D3</v>
      </c>
      <c r="D128" s="33"/>
      <c r="E128" s="33">
        <f>E119</f>
        <v>1</v>
      </c>
      <c r="F128" s="33">
        <f>F119</f>
        <v>0.9</v>
      </c>
      <c r="G128" s="3">
        <f>G119</f>
        <v>-1</v>
      </c>
      <c r="H128" s="33">
        <f>H119</f>
        <v>2.1</v>
      </c>
      <c r="I128" s="14">
        <f>PRODUCT(E128:H128)</f>
        <v>-1.8900000000000001</v>
      </c>
      <c r="J128" s="99"/>
      <c r="K128" s="177"/>
      <c r="L128" s="99"/>
      <c r="M128" s="6"/>
      <c r="N128" s="27"/>
    </row>
    <row r="129" spans="1:14" ht="22.5" x14ac:dyDescent="0.2">
      <c r="A129" s="36"/>
      <c r="B129" s="5"/>
      <c r="C129" s="33" t="str">
        <f>C120</f>
        <v>W</v>
      </c>
      <c r="D129" s="3"/>
      <c r="E129" s="33">
        <v>1</v>
      </c>
      <c r="F129" s="33">
        <f>F120</f>
        <v>1.2</v>
      </c>
      <c r="G129" s="3">
        <v>-1</v>
      </c>
      <c r="H129" s="33">
        <f>H120</f>
        <v>1.1000000000000001</v>
      </c>
      <c r="I129" s="14">
        <f>PRODUCT(E129:H129)</f>
        <v>-1.32</v>
      </c>
      <c r="J129" s="99"/>
      <c r="K129" s="177"/>
      <c r="L129" s="99"/>
      <c r="M129" s="6"/>
      <c r="N129" s="27"/>
    </row>
    <row r="130" spans="1:14" ht="22.5" x14ac:dyDescent="0.2">
      <c r="A130" s="36"/>
      <c r="B130" s="5"/>
      <c r="C130" s="33"/>
      <c r="D130" s="3"/>
      <c r="E130" s="3"/>
      <c r="F130" s="3"/>
      <c r="G130" s="3"/>
      <c r="H130" s="33"/>
      <c r="I130" s="35"/>
      <c r="J130" s="99"/>
      <c r="K130" s="177"/>
      <c r="L130" s="99"/>
      <c r="M130" s="6"/>
      <c r="N130" s="27"/>
    </row>
    <row r="131" spans="1:14" ht="63" x14ac:dyDescent="0.2">
      <c r="A131" s="28">
        <v>29</v>
      </c>
      <c r="B131" s="5">
        <v>13.47</v>
      </c>
      <c r="C131" s="33" t="s">
        <v>417</v>
      </c>
      <c r="D131" s="3"/>
      <c r="E131" s="3"/>
      <c r="F131" s="3"/>
      <c r="G131" s="3"/>
      <c r="H131" s="3"/>
      <c r="I131" s="14"/>
      <c r="J131" s="99"/>
      <c r="K131" s="177">
        <v>0</v>
      </c>
      <c r="L131" s="99">
        <f t="shared" ref="L131:L138" si="0">J131*I131</f>
        <v>0</v>
      </c>
      <c r="M131" s="6"/>
      <c r="N131" s="27"/>
    </row>
    <row r="132" spans="1:14" ht="63" x14ac:dyDescent="0.2">
      <c r="A132" s="28"/>
      <c r="B132" s="5" t="s">
        <v>129</v>
      </c>
      <c r="C132" s="33" t="s">
        <v>130</v>
      </c>
      <c r="D132" s="3" t="s">
        <v>73</v>
      </c>
      <c r="E132" s="3"/>
      <c r="F132" s="3"/>
      <c r="G132" s="3"/>
      <c r="H132" s="3"/>
      <c r="I132" s="35">
        <f>I125</f>
        <v>25.79</v>
      </c>
      <c r="J132" s="99">
        <v>162.35</v>
      </c>
      <c r="K132" s="177">
        <v>246.398595</v>
      </c>
      <c r="L132" s="99">
        <f t="shared" si="0"/>
        <v>4187.0064999999995</v>
      </c>
      <c r="M132" s="6"/>
      <c r="N132" s="27"/>
    </row>
    <row r="133" spans="1:14" ht="22.5" x14ac:dyDescent="0.2">
      <c r="A133" s="28">
        <v>30</v>
      </c>
      <c r="B133" s="5" t="s">
        <v>138</v>
      </c>
      <c r="C133" s="33" t="s">
        <v>139</v>
      </c>
      <c r="D133" s="3" t="s">
        <v>73</v>
      </c>
      <c r="E133" s="3"/>
      <c r="F133" s="3"/>
      <c r="G133" s="3"/>
      <c r="H133" s="3"/>
      <c r="I133" s="35">
        <f>I116</f>
        <v>25.79</v>
      </c>
      <c r="J133" s="99">
        <v>120</v>
      </c>
      <c r="K133" s="177"/>
      <c r="L133" s="99">
        <f t="shared" si="0"/>
        <v>3094.7999999999997</v>
      </c>
      <c r="M133" s="6"/>
      <c r="N133" s="27"/>
    </row>
    <row r="134" spans="1:14" ht="63" x14ac:dyDescent="0.2">
      <c r="A134" s="28">
        <v>31</v>
      </c>
      <c r="B134" s="38">
        <v>13.6</v>
      </c>
      <c r="C134" s="33" t="s">
        <v>406</v>
      </c>
      <c r="D134" s="3" t="s">
        <v>73</v>
      </c>
      <c r="E134" s="3"/>
      <c r="F134" s="3"/>
      <c r="G134" s="3"/>
      <c r="H134" s="3"/>
      <c r="I134" s="14"/>
      <c r="J134" s="99"/>
      <c r="K134" s="177">
        <v>0</v>
      </c>
      <c r="L134" s="99">
        <f t="shared" si="0"/>
        <v>0</v>
      </c>
      <c r="M134" s="6"/>
      <c r="N134" s="27"/>
    </row>
    <row r="135" spans="1:14" ht="22.5" x14ac:dyDescent="0.2">
      <c r="A135" s="28"/>
      <c r="B135" s="38" t="s">
        <v>141</v>
      </c>
      <c r="C135" s="33" t="s">
        <v>142</v>
      </c>
      <c r="D135" s="3" t="s">
        <v>73</v>
      </c>
      <c r="E135" s="3"/>
      <c r="F135" s="3"/>
      <c r="G135" s="3"/>
      <c r="H135" s="3"/>
      <c r="I135" s="14">
        <f>I133</f>
        <v>25.79</v>
      </c>
      <c r="J135" s="99">
        <v>137.85</v>
      </c>
      <c r="K135" s="177">
        <v>246.40687500000001</v>
      </c>
      <c r="L135" s="99">
        <f t="shared" si="0"/>
        <v>3555.1514999999999</v>
      </c>
      <c r="M135" s="6"/>
      <c r="N135" s="27"/>
    </row>
    <row r="136" spans="1:14" ht="105" x14ac:dyDescent="0.2">
      <c r="A136" s="28">
        <v>32</v>
      </c>
      <c r="B136" s="38">
        <v>13.8</v>
      </c>
      <c r="C136" s="33" t="s">
        <v>418</v>
      </c>
      <c r="D136" s="3" t="s">
        <v>73</v>
      </c>
      <c r="E136" s="3"/>
      <c r="F136" s="3"/>
      <c r="G136" s="3"/>
      <c r="H136" s="3"/>
      <c r="I136" s="14">
        <f>I132</f>
        <v>25.79</v>
      </c>
      <c r="J136" s="99">
        <v>123.85</v>
      </c>
      <c r="K136" s="177">
        <v>91.834774999999993</v>
      </c>
      <c r="L136" s="99">
        <f t="shared" si="0"/>
        <v>3194.0914999999995</v>
      </c>
      <c r="M136" s="6"/>
      <c r="N136" s="27"/>
    </row>
    <row r="137" spans="1:14" ht="22.5" x14ac:dyDescent="0.2">
      <c r="A137" s="28"/>
      <c r="B137" s="71"/>
      <c r="C137" s="33"/>
      <c r="D137" s="3"/>
      <c r="E137" s="3"/>
      <c r="F137" s="3"/>
      <c r="G137" s="3"/>
      <c r="H137" s="3"/>
      <c r="I137" s="8"/>
      <c r="J137" s="99"/>
      <c r="K137" s="177"/>
      <c r="L137" s="99">
        <f t="shared" si="0"/>
        <v>0</v>
      </c>
      <c r="M137" s="6"/>
      <c r="N137" s="27"/>
    </row>
    <row r="138" spans="1:14" ht="81" x14ac:dyDescent="0.2">
      <c r="A138" s="28">
        <v>33</v>
      </c>
      <c r="B138" s="349"/>
      <c r="C138" s="11" t="s">
        <v>198</v>
      </c>
      <c r="D138" s="40" t="s">
        <v>199</v>
      </c>
      <c r="E138" s="40"/>
      <c r="F138" s="40"/>
      <c r="G138" s="40"/>
      <c r="H138" s="40" t="s">
        <v>309</v>
      </c>
      <c r="I138" s="14">
        <f>SUM(I139)</f>
        <v>4.5999999999999996</v>
      </c>
      <c r="J138" s="99">
        <v>710</v>
      </c>
      <c r="K138" s="177">
        <v>2300.5036749999999</v>
      </c>
      <c r="L138" s="99">
        <f t="shared" si="0"/>
        <v>3265.9999999999995</v>
      </c>
      <c r="M138" s="6"/>
      <c r="N138" s="27"/>
    </row>
    <row r="139" spans="1:14" ht="22.5" x14ac:dyDescent="0.2">
      <c r="A139" s="28"/>
      <c r="B139" s="69"/>
      <c r="C139" s="11" t="s">
        <v>415</v>
      </c>
      <c r="D139" s="40"/>
      <c r="E139" s="33">
        <v>1</v>
      </c>
      <c r="F139" s="33">
        <f>F129+1.2+1.1+1.1</f>
        <v>4.5999999999999996</v>
      </c>
      <c r="G139" s="3"/>
      <c r="H139" s="33"/>
      <c r="I139" s="350">
        <f>PRODUCT(E139:H139)</f>
        <v>4.5999999999999996</v>
      </c>
      <c r="J139" s="99"/>
      <c r="K139" s="177"/>
      <c r="L139" s="99"/>
      <c r="M139" s="6"/>
      <c r="N139" s="27"/>
    </row>
    <row r="140" spans="1:14" ht="126" x14ac:dyDescent="0.2">
      <c r="A140" s="28">
        <v>34</v>
      </c>
      <c r="B140" s="69" t="s">
        <v>70</v>
      </c>
      <c r="C140" s="43" t="s">
        <v>419</v>
      </c>
      <c r="D140" s="44"/>
      <c r="E140" s="44"/>
      <c r="F140" s="44"/>
      <c r="G140" s="44"/>
      <c r="H140" s="44"/>
      <c r="I140" s="14"/>
      <c r="J140" s="99"/>
      <c r="K140" s="177"/>
      <c r="L140" s="99">
        <f t="shared" ref="L140:L150" si="1">J140*I140</f>
        <v>0</v>
      </c>
      <c r="M140" s="6"/>
      <c r="N140" s="27"/>
    </row>
    <row r="141" spans="1:14" ht="22.5" x14ac:dyDescent="0.2">
      <c r="A141" s="28"/>
      <c r="B141" s="46" t="s">
        <v>178</v>
      </c>
      <c r="C141" s="43" t="s">
        <v>179</v>
      </c>
      <c r="D141" s="44" t="s">
        <v>180</v>
      </c>
      <c r="E141" s="44"/>
      <c r="F141" s="44"/>
      <c r="G141" s="44"/>
      <c r="H141" s="44"/>
      <c r="I141" s="14"/>
      <c r="J141" s="44">
        <v>56700</v>
      </c>
      <c r="K141" s="45">
        <v>65159.64</v>
      </c>
      <c r="L141" s="99">
        <f t="shared" si="1"/>
        <v>0</v>
      </c>
      <c r="M141" s="6"/>
      <c r="N141" s="27"/>
    </row>
    <row r="142" spans="1:14" ht="22.5" x14ac:dyDescent="0.2">
      <c r="A142" s="28"/>
      <c r="B142" s="46" t="s">
        <v>181</v>
      </c>
      <c r="C142" s="43" t="s">
        <v>182</v>
      </c>
      <c r="D142" s="44" t="s">
        <v>180</v>
      </c>
      <c r="E142" s="44"/>
      <c r="F142" s="44"/>
      <c r="G142" s="44"/>
      <c r="H142" s="44"/>
      <c r="I142" s="14"/>
      <c r="J142" s="44">
        <v>47500</v>
      </c>
      <c r="K142" s="45">
        <v>53689.25</v>
      </c>
      <c r="L142" s="99">
        <f t="shared" si="1"/>
        <v>0</v>
      </c>
      <c r="M142" s="6"/>
      <c r="N142" s="27"/>
    </row>
    <row r="143" spans="1:14" ht="22.5" x14ac:dyDescent="0.2">
      <c r="A143" s="28"/>
      <c r="B143" s="46" t="s">
        <v>183</v>
      </c>
      <c r="C143" s="43" t="s">
        <v>184</v>
      </c>
      <c r="D143" s="44" t="s">
        <v>180</v>
      </c>
      <c r="E143" s="44"/>
      <c r="F143" s="44"/>
      <c r="G143" s="44"/>
      <c r="H143" s="44"/>
      <c r="I143" s="14"/>
      <c r="J143" s="44">
        <v>40500</v>
      </c>
      <c r="K143" s="45">
        <v>43436.25</v>
      </c>
      <c r="L143" s="99">
        <f t="shared" si="1"/>
        <v>0</v>
      </c>
      <c r="M143" s="6"/>
      <c r="N143" s="27"/>
    </row>
    <row r="144" spans="1:14" ht="22.5" x14ac:dyDescent="0.2">
      <c r="A144" s="28"/>
      <c r="B144" s="46" t="s">
        <v>185</v>
      </c>
      <c r="C144" s="43" t="s">
        <v>186</v>
      </c>
      <c r="D144" s="44" t="s">
        <v>180</v>
      </c>
      <c r="E144" s="44"/>
      <c r="F144" s="44"/>
      <c r="G144" s="44"/>
      <c r="H144" s="44"/>
      <c r="I144" s="14">
        <v>1</v>
      </c>
      <c r="J144" s="44">
        <v>31000</v>
      </c>
      <c r="K144" s="45">
        <v>32577.9</v>
      </c>
      <c r="L144" s="99">
        <f t="shared" si="1"/>
        <v>31000</v>
      </c>
      <c r="M144" s="6"/>
      <c r="N144" s="27"/>
    </row>
    <row r="145" spans="1:14" ht="22.5" x14ac:dyDescent="0.2">
      <c r="A145" s="28"/>
      <c r="B145" s="46" t="s">
        <v>187</v>
      </c>
      <c r="C145" s="43" t="s">
        <v>188</v>
      </c>
      <c r="D145" s="44" t="s">
        <v>180</v>
      </c>
      <c r="E145" s="44"/>
      <c r="F145" s="44"/>
      <c r="G145" s="44"/>
      <c r="H145" s="44"/>
      <c r="I145" s="14"/>
      <c r="J145" s="44">
        <v>26500</v>
      </c>
      <c r="K145" s="45">
        <v>27000.85</v>
      </c>
      <c r="L145" s="99">
        <f t="shared" si="1"/>
        <v>0</v>
      </c>
      <c r="M145" s="6"/>
      <c r="N145" s="27"/>
    </row>
    <row r="146" spans="1:14" ht="22.5" x14ac:dyDescent="0.2">
      <c r="A146" s="28"/>
      <c r="B146" s="46" t="s">
        <v>189</v>
      </c>
      <c r="C146" s="43" t="s">
        <v>190</v>
      </c>
      <c r="D146" s="44" t="s">
        <v>180</v>
      </c>
      <c r="E146" s="44"/>
      <c r="F146" s="44"/>
      <c r="G146" s="44"/>
      <c r="H146" s="44"/>
      <c r="I146" s="14"/>
      <c r="J146" s="44">
        <v>77500</v>
      </c>
      <c r="K146" s="45">
        <v>83723.25</v>
      </c>
      <c r="L146" s="99">
        <f t="shared" si="1"/>
        <v>0</v>
      </c>
      <c r="M146" s="6"/>
      <c r="N146" s="27"/>
    </row>
    <row r="147" spans="1:14" ht="22.5" x14ac:dyDescent="0.2">
      <c r="A147" s="28"/>
      <c r="B147" s="46" t="s">
        <v>191</v>
      </c>
      <c r="C147" s="43" t="s">
        <v>192</v>
      </c>
      <c r="D147" s="44" t="s">
        <v>180</v>
      </c>
      <c r="E147" s="44"/>
      <c r="F147" s="44"/>
      <c r="G147" s="44"/>
      <c r="H147" s="44"/>
      <c r="I147" s="14"/>
      <c r="J147" s="44">
        <v>116000</v>
      </c>
      <c r="K147" s="45">
        <v>109202.4</v>
      </c>
      <c r="L147" s="99">
        <f t="shared" si="1"/>
        <v>0</v>
      </c>
      <c r="M147" s="6"/>
      <c r="N147" s="27"/>
    </row>
    <row r="148" spans="1:14" ht="22.5" x14ac:dyDescent="0.2">
      <c r="A148" s="28"/>
      <c r="B148" s="46" t="s">
        <v>193</v>
      </c>
      <c r="C148" s="43" t="s">
        <v>194</v>
      </c>
      <c r="D148" s="44" t="s">
        <v>180</v>
      </c>
      <c r="E148" s="44"/>
      <c r="F148" s="44"/>
      <c r="G148" s="44"/>
      <c r="H148" s="44"/>
      <c r="I148" s="14"/>
      <c r="J148" s="44">
        <v>150000</v>
      </c>
      <c r="K148" s="45">
        <v>118845</v>
      </c>
      <c r="L148" s="99">
        <f t="shared" si="1"/>
        <v>0</v>
      </c>
      <c r="M148" s="6"/>
      <c r="N148" s="27"/>
    </row>
    <row r="149" spans="1:14" ht="22.5" x14ac:dyDescent="0.2">
      <c r="A149" s="28"/>
      <c r="B149" s="46" t="s">
        <v>195</v>
      </c>
      <c r="C149" s="43" t="s">
        <v>196</v>
      </c>
      <c r="D149" s="44" t="s">
        <v>180</v>
      </c>
      <c r="E149" s="44"/>
      <c r="F149" s="44"/>
      <c r="G149" s="44"/>
      <c r="H149" s="44"/>
      <c r="I149" s="14"/>
      <c r="J149" s="44">
        <v>51975</v>
      </c>
      <c r="K149" s="45">
        <v>71985.375</v>
      </c>
      <c r="L149" s="99">
        <f t="shared" si="1"/>
        <v>0</v>
      </c>
      <c r="M149" s="6"/>
      <c r="N149" s="27"/>
    </row>
    <row r="150" spans="1:14" ht="81" x14ac:dyDescent="0.2">
      <c r="A150" s="28">
        <v>35</v>
      </c>
      <c r="B150" s="69" t="s">
        <v>70</v>
      </c>
      <c r="C150" s="11" t="s">
        <v>200</v>
      </c>
      <c r="D150" s="40" t="s">
        <v>201</v>
      </c>
      <c r="E150" s="40"/>
      <c r="F150" s="40"/>
      <c r="G150" s="40"/>
      <c r="H150" s="40"/>
      <c r="I150" s="34">
        <f>SUM(I151)</f>
        <v>1.32</v>
      </c>
      <c r="J150" s="44">
        <v>3800</v>
      </c>
      <c r="K150" s="45">
        <v>3800</v>
      </c>
      <c r="L150" s="99">
        <f t="shared" si="1"/>
        <v>5016</v>
      </c>
      <c r="M150" s="6">
        <f>I150*J150</f>
        <v>5016</v>
      </c>
      <c r="N150" s="27"/>
    </row>
    <row r="151" spans="1:14" ht="22.5" x14ac:dyDescent="0.2">
      <c r="A151" s="28"/>
      <c r="B151" s="69"/>
      <c r="C151" s="33" t="str">
        <f>C139</f>
        <v>W</v>
      </c>
      <c r="D151" s="40"/>
      <c r="E151" s="33">
        <f>E139</f>
        <v>1</v>
      </c>
      <c r="F151" s="33">
        <f>F129</f>
        <v>1.2</v>
      </c>
      <c r="G151" s="3"/>
      <c r="H151" s="33">
        <f>H129</f>
        <v>1.1000000000000001</v>
      </c>
      <c r="I151" s="14">
        <f>PRODUCT(E151:H151)</f>
        <v>1.32</v>
      </c>
      <c r="J151" s="44"/>
      <c r="K151" s="45"/>
      <c r="L151" s="99"/>
      <c r="M151" s="6">
        <f>F151*H151</f>
        <v>1.32</v>
      </c>
      <c r="N151" s="27"/>
    </row>
    <row r="152" spans="1:14" ht="409.5" x14ac:dyDescent="0.2">
      <c r="A152" s="28">
        <v>36</v>
      </c>
      <c r="B152" s="10">
        <v>22.6</v>
      </c>
      <c r="C152" s="33" t="s">
        <v>202</v>
      </c>
      <c r="D152" s="3" t="s">
        <v>73</v>
      </c>
      <c r="E152" s="3"/>
      <c r="F152" s="3">
        <v>2</v>
      </c>
      <c r="G152" s="3"/>
      <c r="H152" s="3">
        <v>3</v>
      </c>
      <c r="I152" s="2">
        <f>PRODUCT(E152:H152)</f>
        <v>6</v>
      </c>
      <c r="J152" s="99">
        <v>585.54999999999995</v>
      </c>
      <c r="K152" s="177">
        <v>685.44483000000002</v>
      </c>
      <c r="L152" s="99">
        <f>J152*I152</f>
        <v>3513.2999999999997</v>
      </c>
      <c r="M152" s="6"/>
      <c r="N152" s="27"/>
    </row>
    <row r="153" spans="1:14" ht="22.5" x14ac:dyDescent="0.2">
      <c r="A153" s="28"/>
      <c r="B153" s="10"/>
      <c r="C153" s="33"/>
      <c r="D153" s="3"/>
      <c r="E153" s="3"/>
      <c r="F153" s="3"/>
      <c r="G153" s="3"/>
      <c r="H153" s="3"/>
      <c r="I153" s="14"/>
      <c r="J153" s="99"/>
      <c r="K153" s="177"/>
      <c r="L153" s="99"/>
      <c r="M153" s="6"/>
      <c r="N153" s="27"/>
    </row>
    <row r="154" spans="1:14" ht="20.25" x14ac:dyDescent="0.3">
      <c r="A154" s="556" t="s">
        <v>336</v>
      </c>
      <c r="B154" s="557"/>
      <c r="C154" s="557"/>
      <c r="D154" s="557"/>
      <c r="E154" s="557"/>
      <c r="F154" s="557"/>
      <c r="G154" s="557"/>
      <c r="H154" s="557"/>
      <c r="I154" s="557"/>
      <c r="J154" s="557"/>
      <c r="K154" s="180"/>
      <c r="L154" s="99">
        <f>SUM(L7:L152)</f>
        <v>267991.95084250002</v>
      </c>
      <c r="M154" s="47"/>
      <c r="N154" s="27"/>
    </row>
    <row r="155" spans="1:14" x14ac:dyDescent="0.2">
      <c r="A155" s="49"/>
      <c r="B155" s="50"/>
      <c r="C155" s="51"/>
      <c r="D155" s="50"/>
      <c r="E155" s="50"/>
      <c r="F155" s="50"/>
      <c r="G155" s="50"/>
      <c r="H155" s="50"/>
      <c r="I155" s="52"/>
      <c r="J155" s="171"/>
      <c r="K155" s="181"/>
      <c r="L155" s="165"/>
      <c r="M155" s="6"/>
      <c r="N155" s="53"/>
    </row>
    <row r="156" spans="1:14" x14ac:dyDescent="0.2">
      <c r="A156" s="54"/>
      <c r="N156" s="57"/>
    </row>
    <row r="157" spans="1:14" x14ac:dyDescent="0.2">
      <c r="A157" s="54"/>
      <c r="N157" s="57"/>
    </row>
    <row r="158" spans="1:14" x14ac:dyDescent="0.2">
      <c r="A158" s="54"/>
      <c r="N158" s="57"/>
    </row>
    <row r="159" spans="1:14" x14ac:dyDescent="0.2">
      <c r="A159" s="54"/>
      <c r="N159" s="57"/>
    </row>
    <row r="160" spans="1:14" x14ac:dyDescent="0.2">
      <c r="A160" s="54"/>
      <c r="N160" s="57"/>
    </row>
    <row r="161" spans="1:14" x14ac:dyDescent="0.2">
      <c r="A161" s="54"/>
      <c r="N161" s="57"/>
    </row>
    <row r="162" spans="1:14" x14ac:dyDescent="0.2">
      <c r="A162" s="54"/>
      <c r="N162" s="57"/>
    </row>
    <row r="163" spans="1:14" x14ac:dyDescent="0.2">
      <c r="A163" s="54"/>
      <c r="N163" s="57"/>
    </row>
    <row r="164" spans="1:14" x14ac:dyDescent="0.2">
      <c r="A164" s="54"/>
      <c r="N164" s="57"/>
    </row>
    <row r="165" spans="1:14" x14ac:dyDescent="0.2">
      <c r="A165" s="58"/>
      <c r="B165" s="59"/>
      <c r="C165" s="60"/>
      <c r="D165" s="59"/>
      <c r="E165" s="59"/>
      <c r="F165" s="59"/>
      <c r="G165" s="59"/>
      <c r="H165" s="59"/>
      <c r="I165" s="61"/>
      <c r="J165" s="167"/>
      <c r="K165" s="183"/>
      <c r="L165" s="167"/>
      <c r="M165" s="59"/>
      <c r="N165" s="62"/>
    </row>
  </sheetData>
  <protectedRanges>
    <protectedRange sqref="J141:K151" name="Range1_1_2_1"/>
    <protectedRange sqref="N2" name="Range1_1"/>
  </protectedRanges>
  <autoFilter ref="A6:N47"/>
  <mergeCells count="8">
    <mergeCell ref="A4:N4"/>
    <mergeCell ref="C35:C36"/>
    <mergeCell ref="A154:J154"/>
    <mergeCell ref="A1:N1"/>
    <mergeCell ref="A2:B2"/>
    <mergeCell ref="C2:L2"/>
    <mergeCell ref="M2:N2"/>
    <mergeCell ref="A3:N3"/>
  </mergeCells>
  <phoneticPr fontId="1" type="noConversion"/>
  <conditionalFormatting sqref="C25">
    <cfRule type="cellIs" dxfId="5" priority="13" stopIfTrue="1" operator="equal">
      <formula>#REF!</formula>
    </cfRule>
  </conditionalFormatting>
  <conditionalFormatting sqref="C114">
    <cfRule type="cellIs" dxfId="4" priority="12" stopIfTrue="1" operator="equal">
      <formula>#REF!</formula>
    </cfRule>
  </conditionalFormatting>
  <conditionalFormatting sqref="C123">
    <cfRule type="cellIs" dxfId="3" priority="11" stopIfTrue="1" operator="equal">
      <formula>#REF!</formula>
    </cfRule>
  </conditionalFormatting>
  <conditionalFormatting sqref="C140:C149 B141:B149">
    <cfRule type="cellIs" dxfId="2" priority="14" stopIfTrue="1" operator="equal">
      <formula>#REF!</formula>
    </cfRule>
  </conditionalFormatting>
  <conditionalFormatting sqref="C138:H138 C139:D139 C150:H150 D151">
    <cfRule type="cellIs" dxfId="1" priority="9" stopIfTrue="1" operator="equal">
      <formula>#REF!</formula>
    </cfRule>
  </conditionalFormatting>
  <conditionalFormatting sqref="D141:H149 J141:K151">
    <cfRule type="cellIs" dxfId="0" priority="15" stopIfTrue="1" operator="equal">
      <formula>#REF!</formula>
    </cfRule>
  </conditionalFormatting>
  <pageMargins left="0.7" right="0.7" top="0.75" bottom="0.75" header="0.3" footer="0.3"/>
  <pageSetup paperSize="9" orientation="portrait"/>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E29" sqref="E29"/>
    </sheetView>
  </sheetViews>
  <sheetFormatPr defaultRowHeight="12.75" x14ac:dyDescent="0.2"/>
  <sheetData/>
  <phoneticPr fontId="1" type="noConversion"/>
  <pageMargins left="0.7" right="0.7" top="0.75" bottom="0.75" header="0.3" footer="0.3"/>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honeticPr fontId="1" type="noConversion"/>
  <pageMargins left="0.7" right="0.7" top="0.75" bottom="0.75" header="0.3" footer="0.3"/>
  <pageSetup paperSize="9" orientation="portrai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7"/>
  <sheetViews>
    <sheetView workbookViewId="0">
      <selection activeCell="J7" sqref="J7"/>
    </sheetView>
  </sheetViews>
  <sheetFormatPr defaultRowHeight="12.75" x14ac:dyDescent="0.2"/>
  <cols>
    <col min="10" max="10" width="9.5703125" bestFit="1" customWidth="1"/>
  </cols>
  <sheetData>
    <row r="1" spans="2:13" x14ac:dyDescent="0.2">
      <c r="H1" t="s">
        <v>504</v>
      </c>
    </row>
    <row r="2" spans="2:13" x14ac:dyDescent="0.2">
      <c r="B2" t="s">
        <v>505</v>
      </c>
      <c r="C2">
        <v>0.75</v>
      </c>
      <c r="D2">
        <v>0.75</v>
      </c>
      <c r="E2">
        <v>1</v>
      </c>
      <c r="G2">
        <f>PRODUCT(B2:E2)</f>
        <v>0.5625</v>
      </c>
      <c r="H2">
        <v>115</v>
      </c>
      <c r="I2" t="s">
        <v>510</v>
      </c>
      <c r="J2" s="370">
        <f>PRODUCT(G2:H2)</f>
        <v>64.6875</v>
      </c>
    </row>
    <row r="3" spans="2:13" x14ac:dyDescent="0.2">
      <c r="B3" t="s">
        <v>506</v>
      </c>
      <c r="C3">
        <v>0.1</v>
      </c>
      <c r="D3">
        <v>0.75</v>
      </c>
      <c r="E3">
        <v>1</v>
      </c>
      <c r="G3">
        <f>PRODUCT(B3:E3)</f>
        <v>7.5000000000000011E-2</v>
      </c>
      <c r="H3">
        <f>3.28*3.28*3.28*60</f>
        <v>2117.2531199999994</v>
      </c>
      <c r="I3" t="s">
        <v>510</v>
      </c>
      <c r="J3" s="370">
        <f>PRODUCT(G3:H3)</f>
        <v>158.79398399999997</v>
      </c>
      <c r="M3" t="s">
        <v>507</v>
      </c>
    </row>
    <row r="4" spans="2:13" x14ac:dyDescent="0.2">
      <c r="B4" t="s">
        <v>508</v>
      </c>
      <c r="D4">
        <v>2</v>
      </c>
      <c r="E4">
        <v>50</v>
      </c>
      <c r="G4">
        <f>PRODUCT(B4:E4)</f>
        <v>100</v>
      </c>
      <c r="H4">
        <v>7</v>
      </c>
      <c r="I4" t="s">
        <v>511</v>
      </c>
      <c r="J4" s="370">
        <f>PRODUCT(G4:H4)</f>
        <v>700</v>
      </c>
    </row>
    <row r="5" spans="2:13" x14ac:dyDescent="0.2">
      <c r="B5" t="s">
        <v>509</v>
      </c>
      <c r="C5">
        <v>0.75</v>
      </c>
      <c r="D5">
        <v>0.35</v>
      </c>
      <c r="E5">
        <v>1</v>
      </c>
      <c r="G5">
        <f>PRODUCT(C5:E5)</f>
        <v>0.26249999999999996</v>
      </c>
      <c r="H5">
        <v>253</v>
      </c>
      <c r="J5" s="370">
        <f>PRODUCT(G5:H5)</f>
        <v>66.412499999999994</v>
      </c>
    </row>
    <row r="7" spans="2:13" x14ac:dyDescent="0.2">
      <c r="J7" s="370">
        <f>SUM(J2:J5)</f>
        <v>989.89398399999993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9"/>
  <sheetViews>
    <sheetView topLeftCell="A7" zoomScale="145" zoomScaleNormal="145" workbookViewId="0">
      <selection activeCell="E11" sqref="E11:G11"/>
    </sheetView>
  </sheetViews>
  <sheetFormatPr defaultRowHeight="12.75" x14ac:dyDescent="0.2"/>
  <cols>
    <col min="2" max="2" width="14.42578125" customWidth="1"/>
    <col min="4" max="4" width="17.42578125" customWidth="1"/>
    <col min="5" max="5" width="14.140625" customWidth="1"/>
    <col min="7" max="7" width="20.85546875" customWidth="1"/>
    <col min="8" max="8" width="13.5703125" hidden="1" customWidth="1"/>
    <col min="9" max="9" width="17.85546875" customWidth="1"/>
    <col min="255" max="255" width="14.42578125" customWidth="1"/>
    <col min="258" max="258" width="14.140625" customWidth="1"/>
    <col min="260" max="260" width="13" customWidth="1"/>
    <col min="511" max="511" width="14.42578125" customWidth="1"/>
    <col min="514" max="514" width="14.140625" customWidth="1"/>
    <col min="516" max="516" width="13" customWidth="1"/>
    <col min="767" max="767" width="14.42578125" customWidth="1"/>
    <col min="770" max="770" width="14.140625" customWidth="1"/>
    <col min="772" max="772" width="13" customWidth="1"/>
    <col min="1023" max="1023" width="14.42578125" customWidth="1"/>
    <col min="1026" max="1026" width="14.140625" customWidth="1"/>
    <col min="1028" max="1028" width="13" customWidth="1"/>
    <col min="1279" max="1279" width="14.42578125" customWidth="1"/>
    <col min="1282" max="1282" width="14.140625" customWidth="1"/>
    <col min="1284" max="1284" width="13" customWidth="1"/>
    <col min="1535" max="1535" width="14.42578125" customWidth="1"/>
    <col min="1538" max="1538" width="14.140625" customWidth="1"/>
    <col min="1540" max="1540" width="13" customWidth="1"/>
    <col min="1791" max="1791" width="14.42578125" customWidth="1"/>
    <col min="1794" max="1794" width="14.140625" customWidth="1"/>
    <col min="1796" max="1796" width="13" customWidth="1"/>
    <col min="2047" max="2047" width="14.42578125" customWidth="1"/>
    <col min="2050" max="2050" width="14.140625" customWidth="1"/>
    <col min="2052" max="2052" width="13" customWidth="1"/>
    <col min="2303" max="2303" width="14.42578125" customWidth="1"/>
    <col min="2306" max="2306" width="14.140625" customWidth="1"/>
    <col min="2308" max="2308" width="13" customWidth="1"/>
    <col min="2559" max="2559" width="14.42578125" customWidth="1"/>
    <col min="2562" max="2562" width="14.140625" customWidth="1"/>
    <col min="2564" max="2564" width="13" customWidth="1"/>
    <col min="2815" max="2815" width="14.42578125" customWidth="1"/>
    <col min="2818" max="2818" width="14.140625" customWidth="1"/>
    <col min="2820" max="2820" width="13" customWidth="1"/>
    <col min="3071" max="3071" width="14.42578125" customWidth="1"/>
    <col min="3074" max="3074" width="14.140625" customWidth="1"/>
    <col min="3076" max="3076" width="13" customWidth="1"/>
    <col min="3327" max="3327" width="14.42578125" customWidth="1"/>
    <col min="3330" max="3330" width="14.140625" customWidth="1"/>
    <col min="3332" max="3332" width="13" customWidth="1"/>
    <col min="3583" max="3583" width="14.42578125" customWidth="1"/>
    <col min="3586" max="3586" width="14.140625" customWidth="1"/>
    <col min="3588" max="3588" width="13" customWidth="1"/>
    <col min="3839" max="3839" width="14.42578125" customWidth="1"/>
    <col min="3842" max="3842" width="14.140625" customWidth="1"/>
    <col min="3844" max="3844" width="13" customWidth="1"/>
    <col min="4095" max="4095" width="14.42578125" customWidth="1"/>
    <col min="4098" max="4098" width="14.140625" customWidth="1"/>
    <col min="4100" max="4100" width="13" customWidth="1"/>
    <col min="4351" max="4351" width="14.42578125" customWidth="1"/>
    <col min="4354" max="4354" width="14.140625" customWidth="1"/>
    <col min="4356" max="4356" width="13" customWidth="1"/>
    <col min="4607" max="4607" width="14.42578125" customWidth="1"/>
    <col min="4610" max="4610" width="14.140625" customWidth="1"/>
    <col min="4612" max="4612" width="13" customWidth="1"/>
    <col min="4863" max="4863" width="14.42578125" customWidth="1"/>
    <col min="4866" max="4866" width="14.140625" customWidth="1"/>
    <col min="4868" max="4868" width="13" customWidth="1"/>
    <col min="5119" max="5119" width="14.42578125" customWidth="1"/>
    <col min="5122" max="5122" width="14.140625" customWidth="1"/>
    <col min="5124" max="5124" width="13" customWidth="1"/>
    <col min="5375" max="5375" width="14.42578125" customWidth="1"/>
    <col min="5378" max="5378" width="14.140625" customWidth="1"/>
    <col min="5380" max="5380" width="13" customWidth="1"/>
    <col min="5631" max="5631" width="14.42578125" customWidth="1"/>
    <col min="5634" max="5634" width="14.140625" customWidth="1"/>
    <col min="5636" max="5636" width="13" customWidth="1"/>
    <col min="5887" max="5887" width="14.42578125" customWidth="1"/>
    <col min="5890" max="5890" width="14.140625" customWidth="1"/>
    <col min="5892" max="5892" width="13" customWidth="1"/>
    <col min="6143" max="6143" width="14.42578125" customWidth="1"/>
    <col min="6146" max="6146" width="14.140625" customWidth="1"/>
    <col min="6148" max="6148" width="13" customWidth="1"/>
    <col min="6399" max="6399" width="14.42578125" customWidth="1"/>
    <col min="6402" max="6402" width="14.140625" customWidth="1"/>
    <col min="6404" max="6404" width="13" customWidth="1"/>
    <col min="6655" max="6655" width="14.42578125" customWidth="1"/>
    <col min="6658" max="6658" width="14.140625" customWidth="1"/>
    <col min="6660" max="6660" width="13" customWidth="1"/>
    <col min="6911" max="6911" width="14.42578125" customWidth="1"/>
    <col min="6914" max="6914" width="14.140625" customWidth="1"/>
    <col min="6916" max="6916" width="13" customWidth="1"/>
    <col min="7167" max="7167" width="14.42578125" customWidth="1"/>
    <col min="7170" max="7170" width="14.140625" customWidth="1"/>
    <col min="7172" max="7172" width="13" customWidth="1"/>
    <col min="7423" max="7423" width="14.42578125" customWidth="1"/>
    <col min="7426" max="7426" width="14.140625" customWidth="1"/>
    <col min="7428" max="7428" width="13" customWidth="1"/>
    <col min="7679" max="7679" width="14.42578125" customWidth="1"/>
    <col min="7682" max="7682" width="14.140625" customWidth="1"/>
    <col min="7684" max="7684" width="13" customWidth="1"/>
    <col min="7935" max="7935" width="14.42578125" customWidth="1"/>
    <col min="7938" max="7938" width="14.140625" customWidth="1"/>
    <col min="7940" max="7940" width="13" customWidth="1"/>
    <col min="8191" max="8191" width="14.42578125" customWidth="1"/>
    <col min="8194" max="8194" width="14.140625" customWidth="1"/>
    <col min="8196" max="8196" width="13" customWidth="1"/>
    <col min="8447" max="8447" width="14.42578125" customWidth="1"/>
    <col min="8450" max="8450" width="14.140625" customWidth="1"/>
    <col min="8452" max="8452" width="13" customWidth="1"/>
    <col min="8703" max="8703" width="14.42578125" customWidth="1"/>
    <col min="8706" max="8706" width="14.140625" customWidth="1"/>
    <col min="8708" max="8708" width="13" customWidth="1"/>
    <col min="8959" max="8959" width="14.42578125" customWidth="1"/>
    <col min="8962" max="8962" width="14.140625" customWidth="1"/>
    <col min="8964" max="8964" width="13" customWidth="1"/>
    <col min="9215" max="9215" width="14.42578125" customWidth="1"/>
    <col min="9218" max="9218" width="14.140625" customWidth="1"/>
    <col min="9220" max="9220" width="13" customWidth="1"/>
    <col min="9471" max="9471" width="14.42578125" customWidth="1"/>
    <col min="9474" max="9474" width="14.140625" customWidth="1"/>
    <col min="9476" max="9476" width="13" customWidth="1"/>
    <col min="9727" max="9727" width="14.42578125" customWidth="1"/>
    <col min="9730" max="9730" width="14.140625" customWidth="1"/>
    <col min="9732" max="9732" width="13" customWidth="1"/>
    <col min="9983" max="9983" width="14.42578125" customWidth="1"/>
    <col min="9986" max="9986" width="14.140625" customWidth="1"/>
    <col min="9988" max="9988" width="13" customWidth="1"/>
    <col min="10239" max="10239" width="14.42578125" customWidth="1"/>
    <col min="10242" max="10242" width="14.140625" customWidth="1"/>
    <col min="10244" max="10244" width="13" customWidth="1"/>
    <col min="10495" max="10495" width="14.42578125" customWidth="1"/>
    <col min="10498" max="10498" width="14.140625" customWidth="1"/>
    <col min="10500" max="10500" width="13" customWidth="1"/>
    <col min="10751" max="10751" width="14.42578125" customWidth="1"/>
    <col min="10754" max="10754" width="14.140625" customWidth="1"/>
    <col min="10756" max="10756" width="13" customWidth="1"/>
    <col min="11007" max="11007" width="14.42578125" customWidth="1"/>
    <col min="11010" max="11010" width="14.140625" customWidth="1"/>
    <col min="11012" max="11012" width="13" customWidth="1"/>
    <col min="11263" max="11263" width="14.42578125" customWidth="1"/>
    <col min="11266" max="11266" width="14.140625" customWidth="1"/>
    <col min="11268" max="11268" width="13" customWidth="1"/>
    <col min="11519" max="11519" width="14.42578125" customWidth="1"/>
    <col min="11522" max="11522" width="14.140625" customWidth="1"/>
    <col min="11524" max="11524" width="13" customWidth="1"/>
    <col min="11775" max="11775" width="14.42578125" customWidth="1"/>
    <col min="11778" max="11778" width="14.140625" customWidth="1"/>
    <col min="11780" max="11780" width="13" customWidth="1"/>
    <col min="12031" max="12031" width="14.42578125" customWidth="1"/>
    <col min="12034" max="12034" width="14.140625" customWidth="1"/>
    <col min="12036" max="12036" width="13" customWidth="1"/>
    <col min="12287" max="12287" width="14.42578125" customWidth="1"/>
    <col min="12290" max="12290" width="14.140625" customWidth="1"/>
    <col min="12292" max="12292" width="13" customWidth="1"/>
    <col min="12543" max="12543" width="14.42578125" customWidth="1"/>
    <col min="12546" max="12546" width="14.140625" customWidth="1"/>
    <col min="12548" max="12548" width="13" customWidth="1"/>
    <col min="12799" max="12799" width="14.42578125" customWidth="1"/>
    <col min="12802" max="12802" width="14.140625" customWidth="1"/>
    <col min="12804" max="12804" width="13" customWidth="1"/>
    <col min="13055" max="13055" width="14.42578125" customWidth="1"/>
    <col min="13058" max="13058" width="14.140625" customWidth="1"/>
    <col min="13060" max="13060" width="13" customWidth="1"/>
    <col min="13311" max="13311" width="14.42578125" customWidth="1"/>
    <col min="13314" max="13314" width="14.140625" customWidth="1"/>
    <col min="13316" max="13316" width="13" customWidth="1"/>
    <col min="13567" max="13567" width="14.42578125" customWidth="1"/>
    <col min="13570" max="13570" width="14.140625" customWidth="1"/>
    <col min="13572" max="13572" width="13" customWidth="1"/>
    <col min="13823" max="13823" width="14.42578125" customWidth="1"/>
    <col min="13826" max="13826" width="14.140625" customWidth="1"/>
    <col min="13828" max="13828" width="13" customWidth="1"/>
    <col min="14079" max="14079" width="14.42578125" customWidth="1"/>
    <col min="14082" max="14082" width="14.140625" customWidth="1"/>
    <col min="14084" max="14084" width="13" customWidth="1"/>
    <col min="14335" max="14335" width="14.42578125" customWidth="1"/>
    <col min="14338" max="14338" width="14.140625" customWidth="1"/>
    <col min="14340" max="14340" width="13" customWidth="1"/>
    <col min="14591" max="14591" width="14.42578125" customWidth="1"/>
    <col min="14594" max="14594" width="14.140625" customWidth="1"/>
    <col min="14596" max="14596" width="13" customWidth="1"/>
    <col min="14847" max="14847" width="14.42578125" customWidth="1"/>
    <col min="14850" max="14850" width="14.140625" customWidth="1"/>
    <col min="14852" max="14852" width="13" customWidth="1"/>
    <col min="15103" max="15103" width="14.42578125" customWidth="1"/>
    <col min="15106" max="15106" width="14.140625" customWidth="1"/>
    <col min="15108" max="15108" width="13" customWidth="1"/>
    <col min="15359" max="15359" width="14.42578125" customWidth="1"/>
    <col min="15362" max="15362" width="14.140625" customWidth="1"/>
    <col min="15364" max="15364" width="13" customWidth="1"/>
    <col min="15615" max="15615" width="14.42578125" customWidth="1"/>
    <col min="15618" max="15618" width="14.140625" customWidth="1"/>
    <col min="15620" max="15620" width="13" customWidth="1"/>
    <col min="15871" max="15871" width="14.42578125" customWidth="1"/>
    <col min="15874" max="15874" width="14.140625" customWidth="1"/>
    <col min="15876" max="15876" width="13" customWidth="1"/>
    <col min="16127" max="16127" width="14.42578125" customWidth="1"/>
    <col min="16130" max="16130" width="14.140625" customWidth="1"/>
    <col min="16132" max="16132" width="13" customWidth="1"/>
  </cols>
  <sheetData>
    <row r="1" spans="1:8" ht="9.75" customHeight="1" x14ac:dyDescent="0.2">
      <c r="A1" s="546"/>
      <c r="B1" s="546"/>
      <c r="C1" s="546"/>
      <c r="D1" s="546"/>
      <c r="E1" s="546"/>
      <c r="F1" s="546"/>
      <c r="G1" s="546"/>
    </row>
    <row r="2" spans="1:8" s="106" customFormat="1" ht="36.75" customHeight="1" x14ac:dyDescent="0.2">
      <c r="A2" s="547" t="s">
        <v>472</v>
      </c>
      <c r="B2" s="548"/>
      <c r="C2" s="548"/>
      <c r="D2" s="548"/>
      <c r="E2" s="548"/>
      <c r="F2" s="548"/>
      <c r="G2" s="549"/>
    </row>
    <row r="3" spans="1:8" s="106" customFormat="1" ht="37.5" customHeight="1" x14ac:dyDescent="0.2">
      <c r="A3" s="550" t="s">
        <v>487</v>
      </c>
      <c r="B3" s="551"/>
      <c r="C3" s="550" t="s">
        <v>488</v>
      </c>
      <c r="D3" s="551"/>
      <c r="E3" s="552"/>
      <c r="F3" s="550" t="s">
        <v>489</v>
      </c>
      <c r="G3" s="551"/>
    </row>
    <row r="4" spans="1:8" s="106" customFormat="1" ht="15.75" x14ac:dyDescent="0.2">
      <c r="A4" s="540" t="s">
        <v>499</v>
      </c>
      <c r="B4" s="541"/>
      <c r="C4" s="541"/>
      <c r="D4" s="541"/>
      <c r="E4" s="541"/>
      <c r="F4" s="541"/>
      <c r="G4" s="541"/>
    </row>
    <row r="5" spans="1:8" s="108" customFormat="1" ht="15.75" x14ac:dyDescent="0.2">
      <c r="A5" s="107" t="s">
        <v>0</v>
      </c>
      <c r="B5" s="542" t="s">
        <v>473</v>
      </c>
      <c r="C5" s="543"/>
      <c r="D5" s="544"/>
      <c r="E5" s="542" t="s">
        <v>474</v>
      </c>
      <c r="F5" s="543"/>
      <c r="G5" s="545"/>
    </row>
    <row r="6" spans="1:8" ht="25.5" customHeight="1" x14ac:dyDescent="0.2">
      <c r="A6" s="369">
        <v>1</v>
      </c>
      <c r="B6" s="522" t="s">
        <v>493</v>
      </c>
      <c r="C6" s="523"/>
      <c r="D6" s="524"/>
      <c r="E6" s="525" t="s">
        <v>492</v>
      </c>
      <c r="F6" s="526"/>
      <c r="G6" s="527"/>
      <c r="H6">
        <f>592</f>
        <v>592</v>
      </c>
    </row>
    <row r="7" spans="1:8" ht="25.5" customHeight="1" x14ac:dyDescent="0.2">
      <c r="A7" s="369">
        <v>2</v>
      </c>
      <c r="B7" s="522" t="s">
        <v>1</v>
      </c>
      <c r="C7" s="523"/>
      <c r="D7" s="524"/>
      <c r="E7" s="525" t="s">
        <v>492</v>
      </c>
      <c r="F7" s="526"/>
      <c r="G7" s="527"/>
      <c r="H7">
        <f>600+442</f>
        <v>1042</v>
      </c>
    </row>
    <row r="8" spans="1:8" ht="25.5" customHeight="1" x14ac:dyDescent="0.2">
      <c r="A8" s="369">
        <v>3</v>
      </c>
      <c r="B8" s="522" t="s">
        <v>491</v>
      </c>
      <c r="C8" s="523"/>
      <c r="D8" s="524"/>
      <c r="E8" s="525" t="s">
        <v>475</v>
      </c>
      <c r="F8" s="526"/>
      <c r="G8" s="527"/>
      <c r="H8">
        <f>35*12</f>
        <v>420</v>
      </c>
    </row>
    <row r="9" spans="1:8" ht="35.25" customHeight="1" x14ac:dyDescent="0.2">
      <c r="A9" s="369">
        <v>4</v>
      </c>
      <c r="B9" s="522" t="s">
        <v>2</v>
      </c>
      <c r="C9" s="523"/>
      <c r="D9" s="524"/>
      <c r="E9" s="525" t="s">
        <v>476</v>
      </c>
      <c r="F9" s="526"/>
      <c r="G9" s="527"/>
      <c r="H9">
        <f>35*12</f>
        <v>420</v>
      </c>
    </row>
    <row r="10" spans="1:8" ht="33.75" customHeight="1" x14ac:dyDescent="0.2">
      <c r="A10" s="369">
        <v>5</v>
      </c>
      <c r="B10" s="534" t="s">
        <v>3</v>
      </c>
      <c r="C10" s="535"/>
      <c r="D10" s="536"/>
      <c r="E10" s="525" t="s">
        <v>478</v>
      </c>
      <c r="F10" s="526"/>
      <c r="G10" s="527"/>
      <c r="H10">
        <f>35*12</f>
        <v>420</v>
      </c>
    </row>
    <row r="11" spans="1:8" ht="25.5" customHeight="1" x14ac:dyDescent="0.2">
      <c r="A11" s="369">
        <v>6</v>
      </c>
      <c r="B11" s="534" t="s">
        <v>4</v>
      </c>
      <c r="C11" s="535"/>
      <c r="D11" s="536"/>
      <c r="E11" s="525" t="s">
        <v>479</v>
      </c>
      <c r="F11" s="526"/>
      <c r="G11" s="527"/>
      <c r="H11">
        <v>500</v>
      </c>
    </row>
    <row r="12" spans="1:8" ht="32.25" customHeight="1" x14ac:dyDescent="0.2">
      <c r="A12" s="369">
        <v>7</v>
      </c>
      <c r="B12" s="537" t="s">
        <v>477</v>
      </c>
      <c r="C12" s="538"/>
      <c r="D12" s="539"/>
      <c r="E12" s="525" t="s">
        <v>480</v>
      </c>
      <c r="F12" s="526"/>
      <c r="G12" s="527"/>
    </row>
    <row r="13" spans="1:8" ht="25.5" customHeight="1" x14ac:dyDescent="0.2">
      <c r="A13" s="369">
        <v>8</v>
      </c>
      <c r="B13" s="522" t="s">
        <v>5</v>
      </c>
      <c r="C13" s="523"/>
      <c r="D13" s="524"/>
      <c r="E13" s="525" t="s">
        <v>481</v>
      </c>
      <c r="F13" s="526"/>
      <c r="G13" s="527"/>
    </row>
    <row r="14" spans="1:8" ht="25.5" customHeight="1" x14ac:dyDescent="0.2">
      <c r="A14" s="369">
        <v>9</v>
      </c>
      <c r="B14" s="522" t="s">
        <v>6</v>
      </c>
      <c r="C14" s="523"/>
      <c r="D14" s="524"/>
      <c r="E14" s="525" t="s">
        <v>482</v>
      </c>
      <c r="F14" s="526"/>
      <c r="G14" s="527"/>
    </row>
    <row r="15" spans="1:8" ht="25.5" customHeight="1" x14ac:dyDescent="0.2">
      <c r="A15" s="369">
        <v>10</v>
      </c>
      <c r="B15" s="522" t="s">
        <v>7</v>
      </c>
      <c r="C15" s="523"/>
      <c r="D15" s="524"/>
      <c r="E15" s="525" t="s">
        <v>483</v>
      </c>
      <c r="F15" s="526"/>
      <c r="G15" s="527"/>
    </row>
    <row r="16" spans="1:8" ht="30.75" customHeight="1" x14ac:dyDescent="0.2">
      <c r="A16" s="369">
        <v>11</v>
      </c>
      <c r="B16" s="522" t="s">
        <v>8</v>
      </c>
      <c r="C16" s="523"/>
      <c r="D16" s="524"/>
      <c r="E16" s="525" t="s">
        <v>484</v>
      </c>
      <c r="F16" s="526"/>
      <c r="G16" s="527"/>
    </row>
    <row r="17" spans="1:9" ht="31.5" customHeight="1" x14ac:dyDescent="0.2">
      <c r="A17" s="369">
        <v>12</v>
      </c>
      <c r="B17" s="522" t="s">
        <v>9</v>
      </c>
      <c r="C17" s="523"/>
      <c r="D17" s="524"/>
      <c r="E17" s="525" t="s">
        <v>494</v>
      </c>
      <c r="F17" s="526"/>
      <c r="G17" s="527"/>
    </row>
    <row r="18" spans="1:9" ht="33.75" customHeight="1" x14ac:dyDescent="0.2">
      <c r="A18" s="369">
        <v>13</v>
      </c>
      <c r="B18" s="522" t="s">
        <v>10</v>
      </c>
      <c r="C18" s="523"/>
      <c r="D18" s="524"/>
      <c r="E18" s="525" t="s">
        <v>495</v>
      </c>
      <c r="F18" s="526"/>
      <c r="G18" s="527"/>
    </row>
    <row r="19" spans="1:9" ht="32.25" customHeight="1" x14ac:dyDescent="0.2">
      <c r="A19" s="369">
        <v>14</v>
      </c>
      <c r="B19" s="522" t="s">
        <v>11</v>
      </c>
      <c r="C19" s="523"/>
      <c r="D19" s="524"/>
      <c r="E19" s="525" t="s">
        <v>485</v>
      </c>
      <c r="F19" s="526"/>
      <c r="G19" s="527"/>
    </row>
    <row r="20" spans="1:9" ht="39" customHeight="1" x14ac:dyDescent="0.2">
      <c r="A20" s="369">
        <v>15</v>
      </c>
      <c r="B20" s="522" t="s">
        <v>450</v>
      </c>
      <c r="C20" s="523"/>
      <c r="D20" s="524"/>
      <c r="E20" s="525" t="s">
        <v>486</v>
      </c>
      <c r="F20" s="526"/>
      <c r="G20" s="527"/>
    </row>
    <row r="21" spans="1:9" ht="13.5" customHeight="1" x14ac:dyDescent="0.2">
      <c r="A21" s="250"/>
      <c r="B21" s="528"/>
      <c r="C21" s="529"/>
      <c r="D21" s="530"/>
      <c r="E21" s="531"/>
      <c r="F21" s="532"/>
      <c r="G21" s="533"/>
    </row>
    <row r="22" spans="1:9" s="362" customFormat="1" ht="15" x14ac:dyDescent="0.2">
      <c r="A22" s="361" t="s">
        <v>496</v>
      </c>
      <c r="B22" s="363" t="s">
        <v>497</v>
      </c>
      <c r="C22" s="364"/>
      <c r="D22" s="365"/>
      <c r="E22" s="366"/>
      <c r="F22" s="367"/>
      <c r="G22" s="368"/>
    </row>
    <row r="27" spans="1:9" x14ac:dyDescent="0.2">
      <c r="G27" s="257"/>
      <c r="H27" s="257"/>
      <c r="I27" s="359"/>
    </row>
    <row r="28" spans="1:9" x14ac:dyDescent="0.2">
      <c r="G28" s="257"/>
    </row>
    <row r="29" spans="1:9" x14ac:dyDescent="0.2">
      <c r="G29" s="257"/>
      <c r="I29" s="359"/>
    </row>
  </sheetData>
  <protectedRanges>
    <protectedRange sqref="G2" name="Range1_1"/>
    <protectedRange sqref="G3:G4" name="Range1"/>
  </protectedRanges>
  <mergeCells count="40">
    <mergeCell ref="A1:G1"/>
    <mergeCell ref="A2:G2"/>
    <mergeCell ref="A3:B3"/>
    <mergeCell ref="C3:E3"/>
    <mergeCell ref="F3:G3"/>
    <mergeCell ref="A4:G4"/>
    <mergeCell ref="B5:D5"/>
    <mergeCell ref="E5:G5"/>
    <mergeCell ref="B6:D6"/>
    <mergeCell ref="E6:G6"/>
    <mergeCell ref="B7:D7"/>
    <mergeCell ref="E7:G7"/>
    <mergeCell ref="B8:D8"/>
    <mergeCell ref="E8:G8"/>
    <mergeCell ref="B9:D9"/>
    <mergeCell ref="E9:G9"/>
    <mergeCell ref="B10:D10"/>
    <mergeCell ref="E10:G10"/>
    <mergeCell ref="B11:D11"/>
    <mergeCell ref="E11:G11"/>
    <mergeCell ref="B12:D12"/>
    <mergeCell ref="E12:G12"/>
    <mergeCell ref="B13:D13"/>
    <mergeCell ref="E13:G13"/>
    <mergeCell ref="B14:D14"/>
    <mergeCell ref="E14:G14"/>
    <mergeCell ref="B15:D15"/>
    <mergeCell ref="E15:G15"/>
    <mergeCell ref="B16:D16"/>
    <mergeCell ref="E16:G16"/>
    <mergeCell ref="B17:D17"/>
    <mergeCell ref="E17:G17"/>
    <mergeCell ref="B18:D18"/>
    <mergeCell ref="E18:G18"/>
    <mergeCell ref="B19:D19"/>
    <mergeCell ref="E19:G19"/>
    <mergeCell ref="B20:D20"/>
    <mergeCell ref="E20:G20"/>
    <mergeCell ref="B21:D21"/>
    <mergeCell ref="E21:G21"/>
  </mergeCells>
  <phoneticPr fontId="1" type="noConversion"/>
  <pageMargins left="0.7" right="0.7" top="0.75" bottom="0.75" header="0.3" footer="0.3"/>
  <pageSetup paperSize="9" scale="94" fitToHeight="0" orientation="portrait"/>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N82"/>
  <sheetViews>
    <sheetView view="pageBreakPreview" topLeftCell="A59" zoomScale="55" zoomScaleNormal="55" workbookViewId="0">
      <selection activeCell="I8" sqref="I8"/>
    </sheetView>
  </sheetViews>
  <sheetFormatPr defaultColWidth="9.140625" defaultRowHeight="23.25" x14ac:dyDescent="0.2"/>
  <cols>
    <col min="1" max="1" width="13" style="63" customWidth="1"/>
    <col min="2" max="2" width="13.85546875" style="7" customWidth="1"/>
    <col min="3" max="3" width="76.28515625" style="55" customWidth="1"/>
    <col min="4" max="8" width="14.42578125" style="7" customWidth="1"/>
    <col min="9" max="9" width="21.85546875" style="56" customWidth="1"/>
    <col min="10" max="10" width="17" style="166" customWidth="1"/>
    <col min="11" max="11" width="15" style="182" hidden="1" customWidth="1"/>
    <col min="12" max="12" width="26.42578125" style="166" customWidth="1"/>
    <col min="13" max="13" width="23.85546875" style="7" customWidth="1"/>
    <col min="14" max="14" width="40.7109375" style="7" customWidth="1"/>
    <col min="15" max="15" width="9.140625" style="7" customWidth="1"/>
    <col min="16" max="16384" width="9.140625" style="7"/>
  </cols>
  <sheetData>
    <row r="1" spans="1:14" ht="195.75" customHeight="1" x14ac:dyDescent="0.2">
      <c r="A1" s="558"/>
      <c r="B1" s="559"/>
      <c r="C1" s="559"/>
      <c r="D1" s="559"/>
      <c r="E1" s="559"/>
      <c r="F1" s="559"/>
      <c r="G1" s="559"/>
      <c r="H1" s="559"/>
      <c r="I1" s="559"/>
      <c r="J1" s="559"/>
      <c r="K1" s="559"/>
      <c r="L1" s="559"/>
      <c r="M1" s="559"/>
      <c r="N1" s="560"/>
    </row>
    <row r="2" spans="1:14" ht="54" customHeight="1" x14ac:dyDescent="0.2">
      <c r="A2" s="561" t="s">
        <v>12</v>
      </c>
      <c r="B2" s="562"/>
      <c r="C2" s="563" t="s">
        <v>13</v>
      </c>
      <c r="D2" s="564"/>
      <c r="E2" s="564"/>
      <c r="F2" s="564"/>
      <c r="G2" s="564"/>
      <c r="H2" s="564"/>
      <c r="I2" s="564"/>
      <c r="J2" s="564"/>
      <c r="K2" s="564"/>
      <c r="L2" s="565"/>
      <c r="M2" s="566" t="s">
        <v>14</v>
      </c>
      <c r="N2" s="567"/>
    </row>
    <row r="3" spans="1:14" ht="63.75" customHeight="1" x14ac:dyDescent="0.2">
      <c r="A3" s="568" t="s">
        <v>15</v>
      </c>
      <c r="B3" s="569"/>
      <c r="C3" s="569"/>
      <c r="D3" s="569"/>
      <c r="E3" s="569"/>
      <c r="F3" s="569"/>
      <c r="G3" s="569"/>
      <c r="H3" s="569"/>
      <c r="I3" s="569"/>
      <c r="J3" s="569"/>
      <c r="K3" s="569"/>
      <c r="L3" s="569"/>
      <c r="M3" s="569"/>
      <c r="N3" s="570"/>
    </row>
    <row r="4" spans="1:14" ht="53.25" customHeight="1" x14ac:dyDescent="0.2">
      <c r="A4" s="553" t="s">
        <v>420</v>
      </c>
      <c r="B4" s="554"/>
      <c r="C4" s="554"/>
      <c r="D4" s="554"/>
      <c r="E4" s="554"/>
      <c r="F4" s="554"/>
      <c r="G4" s="554"/>
      <c r="H4" s="554"/>
      <c r="I4" s="554"/>
      <c r="J4" s="554"/>
      <c r="K4" s="554"/>
      <c r="L4" s="554"/>
      <c r="M4" s="554"/>
      <c r="N4" s="555"/>
    </row>
    <row r="5" spans="1:14" ht="60.75" x14ac:dyDescent="0.2">
      <c r="A5" s="16" t="s">
        <v>16</v>
      </c>
      <c r="B5" s="64" t="s">
        <v>17</v>
      </c>
      <c r="C5" s="18" t="s">
        <v>18</v>
      </c>
      <c r="D5" s="19" t="s">
        <v>19</v>
      </c>
      <c r="E5" s="20" t="s">
        <v>180</v>
      </c>
      <c r="F5" s="20" t="s">
        <v>302</v>
      </c>
      <c r="G5" s="20" t="s">
        <v>303</v>
      </c>
      <c r="H5" s="20" t="s">
        <v>304</v>
      </c>
      <c r="I5" s="21" t="s">
        <v>305</v>
      </c>
      <c r="J5" s="170" t="s">
        <v>37</v>
      </c>
      <c r="K5" s="175" t="s">
        <v>306</v>
      </c>
      <c r="L5" s="21" t="s">
        <v>38</v>
      </c>
      <c r="M5" s="22" t="s">
        <v>39</v>
      </c>
      <c r="N5" s="23" t="s">
        <v>40</v>
      </c>
    </row>
    <row r="6" spans="1:14" ht="22.5" x14ac:dyDescent="0.2">
      <c r="A6" s="24"/>
      <c r="B6" s="65"/>
      <c r="C6" s="25"/>
      <c r="D6" s="20"/>
      <c r="E6" s="20"/>
      <c r="F6" s="20"/>
      <c r="G6" s="20"/>
      <c r="H6" s="20"/>
      <c r="I6" s="26"/>
      <c r="J6" s="101"/>
      <c r="K6" s="176"/>
      <c r="L6" s="26"/>
      <c r="M6" s="6"/>
      <c r="N6" s="27"/>
    </row>
    <row r="7" spans="1:14" ht="147" customHeight="1" x14ac:dyDescent="0.2">
      <c r="A7" s="28">
        <v>1</v>
      </c>
      <c r="B7" s="5">
        <v>2.6</v>
      </c>
      <c r="C7" s="33" t="s">
        <v>41</v>
      </c>
      <c r="D7" s="3"/>
      <c r="E7" s="3"/>
      <c r="F7" s="3"/>
      <c r="G7" s="3"/>
      <c r="H7" s="3"/>
      <c r="I7" s="14"/>
      <c r="J7" s="99"/>
      <c r="K7" s="177"/>
      <c r="L7" s="99"/>
      <c r="M7" s="6"/>
      <c r="N7" s="27"/>
    </row>
    <row r="8" spans="1:14" ht="22.5" x14ac:dyDescent="0.2">
      <c r="A8" s="28"/>
      <c r="B8" s="5"/>
      <c r="C8" s="33" t="s">
        <v>42</v>
      </c>
      <c r="D8" s="3" t="s">
        <v>43</v>
      </c>
      <c r="E8" s="3"/>
      <c r="F8" s="3"/>
      <c r="G8" s="3"/>
      <c r="H8" s="3"/>
      <c r="I8" s="354">
        <f>SUM(I9:I10)</f>
        <v>53.91</v>
      </c>
      <c r="J8" s="99">
        <v>205.45</v>
      </c>
      <c r="K8" s="177">
        <v>215.04451499999999</v>
      </c>
      <c r="L8" s="99">
        <f>J8*I8</f>
        <v>11075.809499999999</v>
      </c>
      <c r="M8" s="6"/>
      <c r="N8" s="27"/>
    </row>
    <row r="9" spans="1:14" ht="22.5" x14ac:dyDescent="0.2">
      <c r="A9" s="28"/>
      <c r="B9" s="5"/>
      <c r="C9" s="33"/>
      <c r="D9" s="3"/>
      <c r="E9" s="14">
        <v>1</v>
      </c>
      <c r="F9" s="14">
        <f>12+0.6</f>
        <v>12.6</v>
      </c>
      <c r="G9" s="14">
        <f>3.5+0.6</f>
        <v>4.0999999999999996</v>
      </c>
      <c r="H9" s="14">
        <v>1</v>
      </c>
      <c r="I9" s="99">
        <f>PRODUCT(E9:H9)</f>
        <v>51.66</v>
      </c>
      <c r="J9" s="99"/>
      <c r="K9" s="177"/>
      <c r="L9" s="99"/>
      <c r="M9" s="6"/>
      <c r="N9" s="27"/>
    </row>
    <row r="10" spans="1:14" ht="22.5" x14ac:dyDescent="0.2">
      <c r="A10" s="28"/>
      <c r="B10" s="5"/>
      <c r="C10" s="33" t="s">
        <v>421</v>
      </c>
      <c r="D10" s="3"/>
      <c r="E10" s="14">
        <v>1</v>
      </c>
      <c r="F10" s="14">
        <f>0.9+0.6</f>
        <v>1.5</v>
      </c>
      <c r="G10" s="14">
        <f>0.9+0.6</f>
        <v>1.5</v>
      </c>
      <c r="H10" s="14">
        <v>1</v>
      </c>
      <c r="I10" s="99">
        <f>PRODUCT(E10:H10)</f>
        <v>2.25</v>
      </c>
      <c r="J10" s="99"/>
      <c r="K10" s="177"/>
      <c r="L10" s="99"/>
      <c r="M10" s="6"/>
      <c r="N10" s="27"/>
    </row>
    <row r="11" spans="1:14" ht="22.5" x14ac:dyDescent="0.2">
      <c r="A11" s="28"/>
      <c r="B11" s="5"/>
      <c r="C11" s="33"/>
      <c r="D11" s="3"/>
      <c r="E11" s="14"/>
      <c r="F11" s="14"/>
      <c r="G11" s="14"/>
      <c r="H11" s="14"/>
      <c r="I11" s="99"/>
      <c r="J11" s="99"/>
      <c r="K11" s="177"/>
      <c r="L11" s="99"/>
      <c r="M11" s="6"/>
      <c r="N11" s="27"/>
    </row>
    <row r="12" spans="1:14" ht="126" x14ac:dyDescent="0.2">
      <c r="A12" s="28"/>
      <c r="B12" s="5">
        <v>2.7</v>
      </c>
      <c r="C12" s="33" t="s">
        <v>44</v>
      </c>
      <c r="D12" s="3"/>
      <c r="E12" s="14"/>
      <c r="F12" s="14"/>
      <c r="G12" s="14"/>
      <c r="H12" s="14"/>
      <c r="I12" s="99"/>
      <c r="J12" s="99"/>
      <c r="K12" s="177"/>
      <c r="L12" s="99"/>
      <c r="M12" s="6"/>
      <c r="N12" s="27"/>
    </row>
    <row r="13" spans="1:14" ht="22.5" x14ac:dyDescent="0.2">
      <c r="A13" s="28"/>
      <c r="B13" s="5" t="s">
        <v>45</v>
      </c>
      <c r="C13" s="33" t="s">
        <v>46</v>
      </c>
      <c r="D13" s="3" t="s">
        <v>43</v>
      </c>
      <c r="E13" s="14"/>
      <c r="F13" s="14"/>
      <c r="G13" s="14"/>
      <c r="H13" s="14"/>
      <c r="I13" s="99">
        <f>I8</f>
        <v>53.91</v>
      </c>
      <c r="J13" s="99">
        <v>412.95</v>
      </c>
      <c r="K13" s="177"/>
      <c r="L13" s="99">
        <f>J13*I13</f>
        <v>22262.134499999996</v>
      </c>
      <c r="M13" s="6"/>
      <c r="N13" s="27"/>
    </row>
    <row r="14" spans="1:14" ht="22.5" x14ac:dyDescent="0.2">
      <c r="A14" s="28"/>
      <c r="B14" s="5"/>
      <c r="C14" s="33"/>
      <c r="D14" s="3"/>
      <c r="E14" s="14"/>
      <c r="F14" s="14"/>
      <c r="G14" s="14"/>
      <c r="H14" s="14"/>
      <c r="I14" s="99"/>
      <c r="J14" s="99"/>
      <c r="K14" s="177"/>
      <c r="L14" s="99"/>
      <c r="M14" s="6"/>
      <c r="N14" s="27"/>
    </row>
    <row r="15" spans="1:14" ht="22.5" x14ac:dyDescent="0.2">
      <c r="A15" s="28"/>
      <c r="B15" s="5"/>
      <c r="C15" s="33"/>
      <c r="D15" s="3"/>
      <c r="E15" s="14"/>
      <c r="F15" s="14"/>
      <c r="G15" s="14"/>
      <c r="H15" s="14"/>
      <c r="I15" s="14"/>
      <c r="J15" s="99"/>
      <c r="K15" s="177"/>
      <c r="L15" s="99"/>
      <c r="M15" s="6"/>
      <c r="N15" s="27"/>
    </row>
    <row r="16" spans="1:14" ht="105" x14ac:dyDescent="0.2">
      <c r="A16" s="28">
        <v>2</v>
      </c>
      <c r="B16" s="5">
        <v>2.25</v>
      </c>
      <c r="C16" s="33" t="s">
        <v>59</v>
      </c>
      <c r="D16" s="3" t="s">
        <v>60</v>
      </c>
      <c r="E16" s="3"/>
      <c r="F16" s="3"/>
      <c r="G16" s="3"/>
      <c r="H16" s="3"/>
      <c r="I16" s="337">
        <f>SUM(I17:I20)</f>
        <v>21.676000000000005</v>
      </c>
      <c r="J16" s="99">
        <v>253.95</v>
      </c>
      <c r="K16" s="177">
        <v>182.56465499999999</v>
      </c>
      <c r="L16" s="99">
        <f>J16*I16</f>
        <v>5504.6202000000012</v>
      </c>
      <c r="M16" s="6"/>
      <c r="N16" s="27"/>
    </row>
    <row r="17" spans="1:14" ht="22.5" x14ac:dyDescent="0.2">
      <c r="A17" s="28"/>
      <c r="B17" s="5"/>
      <c r="C17" s="33"/>
      <c r="D17" s="3"/>
      <c r="E17" s="3"/>
      <c r="F17" s="3"/>
      <c r="G17" s="3"/>
      <c r="H17" s="14">
        <f>I8</f>
        <v>53.91</v>
      </c>
      <c r="I17" s="14">
        <f>PRODUCT(H17)</f>
        <v>53.91</v>
      </c>
      <c r="J17" s="99"/>
      <c r="K17" s="177"/>
      <c r="L17" s="99"/>
      <c r="M17" s="6"/>
      <c r="N17" s="27"/>
    </row>
    <row r="18" spans="1:14" ht="22.5" x14ac:dyDescent="0.2">
      <c r="A18" s="28"/>
      <c r="B18" s="5"/>
      <c r="C18" s="33" t="s">
        <v>337</v>
      </c>
      <c r="D18" s="3"/>
      <c r="E18" s="3"/>
      <c r="F18" s="3"/>
      <c r="G18" s="3"/>
      <c r="H18" s="14">
        <f>-I31</f>
        <v>-4.5139999999999993</v>
      </c>
      <c r="I18" s="14">
        <f>PRODUCT(H18)</f>
        <v>-4.5139999999999993</v>
      </c>
      <c r="J18" s="99"/>
      <c r="K18" s="177"/>
      <c r="L18" s="99"/>
      <c r="M18" s="6"/>
      <c r="N18" s="27"/>
    </row>
    <row r="19" spans="1:14" ht="22.5" x14ac:dyDescent="0.2">
      <c r="A19" s="28"/>
      <c r="B19" s="5"/>
      <c r="C19" s="33" t="s">
        <v>338</v>
      </c>
      <c r="D19" s="3"/>
      <c r="E19" s="3"/>
      <c r="F19" s="3"/>
      <c r="G19" s="3"/>
      <c r="H19" s="14">
        <f>-SUM(I44:I46)</f>
        <v>-27.719999999999995</v>
      </c>
      <c r="I19" s="14">
        <f>PRODUCT(H19)</f>
        <v>-27.719999999999995</v>
      </c>
      <c r="J19" s="99"/>
      <c r="K19" s="177"/>
      <c r="L19" s="99"/>
      <c r="M19" s="6"/>
      <c r="N19" s="27"/>
    </row>
    <row r="20" spans="1:14" ht="22.5" x14ac:dyDescent="0.2">
      <c r="A20" s="28"/>
      <c r="B20" s="5"/>
      <c r="C20" s="33"/>
      <c r="D20" s="3"/>
      <c r="E20" s="3"/>
      <c r="F20" s="3"/>
      <c r="G20" s="3"/>
      <c r="H20" s="14"/>
      <c r="I20" s="14"/>
      <c r="J20" s="99"/>
      <c r="K20" s="177"/>
      <c r="L20" s="99"/>
      <c r="M20" s="6"/>
      <c r="N20" s="27"/>
    </row>
    <row r="21" spans="1:14" ht="84" x14ac:dyDescent="0.2">
      <c r="A21" s="28">
        <v>3</v>
      </c>
      <c r="B21" s="5">
        <v>1.1000000000000001</v>
      </c>
      <c r="C21" s="33" t="s">
        <v>61</v>
      </c>
      <c r="D21" s="6"/>
      <c r="E21" s="6"/>
      <c r="F21" s="6"/>
      <c r="G21" s="6"/>
      <c r="H21" s="6"/>
      <c r="I21" s="14"/>
      <c r="J21" s="99"/>
      <c r="K21" s="177">
        <v>0</v>
      </c>
      <c r="L21" s="99">
        <f>J21*I21</f>
        <v>0</v>
      </c>
      <c r="M21" s="6"/>
      <c r="N21" s="27"/>
    </row>
    <row r="22" spans="1:14" ht="22.5" x14ac:dyDescent="0.2">
      <c r="A22" s="28"/>
      <c r="B22" s="5" t="s">
        <v>62</v>
      </c>
      <c r="C22" s="33" t="s">
        <v>63</v>
      </c>
      <c r="D22" s="3" t="s">
        <v>60</v>
      </c>
      <c r="E22" s="3"/>
      <c r="F22" s="3"/>
      <c r="G22" s="3"/>
      <c r="H22" s="3"/>
      <c r="I22" s="337">
        <f>I8-I16</f>
        <v>32.233999999999995</v>
      </c>
      <c r="J22" s="99">
        <v>271.45</v>
      </c>
      <c r="K22" s="177">
        <v>98.563495000000003</v>
      </c>
      <c r="L22" s="99">
        <f>J22*I22</f>
        <v>8749.9192999999977</v>
      </c>
      <c r="M22" s="6"/>
      <c r="N22" s="27"/>
    </row>
    <row r="23" spans="1:14" ht="22.5" x14ac:dyDescent="0.2">
      <c r="A23" s="28"/>
      <c r="B23" s="5" t="s">
        <v>64</v>
      </c>
      <c r="C23" s="33" t="s">
        <v>65</v>
      </c>
      <c r="D23" s="3" t="s">
        <v>60</v>
      </c>
      <c r="E23" s="3"/>
      <c r="F23" s="3"/>
      <c r="G23" s="3"/>
      <c r="H23" s="3"/>
      <c r="I23" s="14"/>
      <c r="J23" s="99">
        <v>434.32</v>
      </c>
      <c r="K23" s="177">
        <v>147.84252799999999</v>
      </c>
      <c r="L23" s="99">
        <f>J23*I23</f>
        <v>0</v>
      </c>
      <c r="M23" s="6"/>
      <c r="N23" s="27"/>
    </row>
    <row r="24" spans="1:14" ht="182.25" x14ac:dyDescent="0.2">
      <c r="A24" s="28">
        <v>4</v>
      </c>
      <c r="B24" s="32">
        <v>810</v>
      </c>
      <c r="C24" s="15" t="s">
        <v>308</v>
      </c>
      <c r="D24" s="3"/>
      <c r="E24" s="3"/>
      <c r="F24" s="3"/>
      <c r="G24" s="3"/>
      <c r="H24" s="3"/>
      <c r="I24" s="14"/>
      <c r="J24" s="99"/>
      <c r="K24" s="177">
        <v>0</v>
      </c>
      <c r="L24" s="99">
        <f>J24*I24</f>
        <v>0</v>
      </c>
      <c r="M24" s="6"/>
      <c r="N24" s="27"/>
    </row>
    <row r="25" spans="1:14" ht="22.5" x14ac:dyDescent="0.2">
      <c r="A25" s="28">
        <v>5</v>
      </c>
      <c r="B25" s="32">
        <v>810</v>
      </c>
      <c r="C25" s="33" t="s">
        <v>66</v>
      </c>
      <c r="D25" s="3" t="s">
        <v>60</v>
      </c>
      <c r="E25" s="3"/>
      <c r="F25" s="3"/>
      <c r="G25" s="3"/>
      <c r="H25" s="3"/>
      <c r="I25" s="14">
        <f>SUM(I26:I27)</f>
        <v>0</v>
      </c>
      <c r="J25" s="99">
        <v>500</v>
      </c>
      <c r="K25" s="177">
        <v>730.25</v>
      </c>
      <c r="L25" s="99">
        <f>J25*I25</f>
        <v>0</v>
      </c>
      <c r="M25" s="6"/>
      <c r="N25" s="27"/>
    </row>
    <row r="26" spans="1:14" ht="22.5" x14ac:dyDescent="0.2">
      <c r="A26" s="28"/>
      <c r="B26" s="32"/>
      <c r="C26" s="33"/>
      <c r="D26" s="3"/>
      <c r="E26" s="3"/>
      <c r="F26" s="3"/>
      <c r="G26" s="3"/>
      <c r="H26" s="3"/>
      <c r="I26" s="14">
        <f>PRODUCT(E26:H26)</f>
        <v>0</v>
      </c>
      <c r="J26" s="99"/>
      <c r="K26" s="177"/>
      <c r="L26" s="99"/>
      <c r="M26" s="6"/>
      <c r="N26" s="27"/>
    </row>
    <row r="27" spans="1:14" ht="22.5" x14ac:dyDescent="0.2">
      <c r="A27" s="28"/>
      <c r="B27" s="32"/>
      <c r="C27" s="33"/>
      <c r="D27" s="3"/>
      <c r="E27" s="3"/>
      <c r="F27" s="3"/>
      <c r="G27" s="3"/>
      <c r="H27" s="3"/>
      <c r="I27" s="14"/>
      <c r="J27" s="99"/>
      <c r="K27" s="177"/>
      <c r="L27" s="99"/>
      <c r="M27" s="6"/>
      <c r="N27" s="27"/>
    </row>
    <row r="28" spans="1:14" ht="22.5" x14ac:dyDescent="0.2">
      <c r="A28" s="28">
        <v>6</v>
      </c>
      <c r="B28" s="32">
        <v>982</v>
      </c>
      <c r="C28" s="33" t="s">
        <v>68</v>
      </c>
      <c r="D28" s="3" t="s">
        <v>60</v>
      </c>
      <c r="E28" s="3"/>
      <c r="F28" s="3"/>
      <c r="G28" s="3"/>
      <c r="H28" s="3"/>
      <c r="I28" s="14"/>
      <c r="J28" s="99">
        <v>1500</v>
      </c>
      <c r="K28" s="177">
        <v>3024</v>
      </c>
      <c r="L28" s="99">
        <f>J28*I28</f>
        <v>0</v>
      </c>
      <c r="M28" s="6"/>
      <c r="N28" s="27"/>
    </row>
    <row r="29" spans="1:14" ht="22.5" x14ac:dyDescent="0.2">
      <c r="A29" s="28">
        <v>7</v>
      </c>
      <c r="B29" s="5"/>
      <c r="C29" s="33" t="s">
        <v>69</v>
      </c>
      <c r="D29" s="3"/>
      <c r="E29" s="3"/>
      <c r="F29" s="3"/>
      <c r="G29" s="3"/>
      <c r="H29" s="3"/>
      <c r="I29" s="14"/>
      <c r="J29" s="99"/>
      <c r="K29" s="177"/>
      <c r="L29" s="99">
        <f>J29*I29</f>
        <v>0</v>
      </c>
      <c r="M29" s="6"/>
      <c r="N29" s="27"/>
    </row>
    <row r="30" spans="1:14" ht="63" x14ac:dyDescent="0.2">
      <c r="A30" s="28">
        <v>8</v>
      </c>
      <c r="B30" s="5">
        <v>4.0999999999999996</v>
      </c>
      <c r="C30" s="33" t="s">
        <v>74</v>
      </c>
      <c r="D30" s="3"/>
      <c r="E30" s="3"/>
      <c r="F30" s="3"/>
      <c r="G30" s="3"/>
      <c r="H30" s="3"/>
      <c r="I30" s="14"/>
      <c r="J30" s="99"/>
      <c r="K30" s="177"/>
      <c r="L30" s="99">
        <f>J30*I30</f>
        <v>0</v>
      </c>
      <c r="M30" s="6"/>
      <c r="N30" s="27"/>
    </row>
    <row r="31" spans="1:14" ht="84" x14ac:dyDescent="0.2">
      <c r="A31" s="28">
        <v>9</v>
      </c>
      <c r="B31" s="5" t="s">
        <v>75</v>
      </c>
      <c r="C31" s="33" t="s">
        <v>76</v>
      </c>
      <c r="D31" s="3" t="s">
        <v>43</v>
      </c>
      <c r="E31" s="3"/>
      <c r="F31" s="3"/>
      <c r="G31" s="3"/>
      <c r="H31" s="3" t="s">
        <v>309</v>
      </c>
      <c r="I31" s="14">
        <f>SUM(I32:I33)</f>
        <v>4.5139999999999993</v>
      </c>
      <c r="J31" s="99">
        <v>6833.4</v>
      </c>
      <c r="K31" s="177">
        <v>4811.3969399999996</v>
      </c>
      <c r="L31" s="99">
        <f>J31*I31</f>
        <v>30845.967599999993</v>
      </c>
      <c r="M31" s="6"/>
      <c r="N31" s="27"/>
    </row>
    <row r="32" spans="1:14" ht="22.5" x14ac:dyDescent="0.2">
      <c r="A32" s="28"/>
      <c r="B32" s="5"/>
      <c r="C32" s="33" t="s">
        <v>332</v>
      </c>
      <c r="D32" s="3"/>
      <c r="E32" s="14">
        <f>E9</f>
        <v>1</v>
      </c>
      <c r="F32" s="14">
        <f>F9-0.6+0.2</f>
        <v>12.2</v>
      </c>
      <c r="G32" s="14">
        <f>G9-0.6+0.2</f>
        <v>3.6999999999999997</v>
      </c>
      <c r="H32" s="14">
        <v>0.1</v>
      </c>
      <c r="I32" s="14">
        <f>PRODUCT(E32:H32)</f>
        <v>4.5139999999999993</v>
      </c>
      <c r="J32" s="99"/>
      <c r="K32" s="177"/>
      <c r="L32" s="99"/>
      <c r="M32" s="6"/>
      <c r="N32" s="27"/>
    </row>
    <row r="33" spans="1:14" ht="22.5" x14ac:dyDescent="0.2">
      <c r="A33" s="28"/>
      <c r="B33" s="5"/>
      <c r="C33" s="33"/>
      <c r="D33" s="3"/>
      <c r="E33" s="14"/>
      <c r="F33" s="14"/>
      <c r="G33" s="14"/>
      <c r="H33" s="14"/>
      <c r="I33" s="14"/>
      <c r="J33" s="99"/>
      <c r="K33" s="177"/>
      <c r="L33" s="99"/>
      <c r="M33" s="6"/>
      <c r="N33" s="27"/>
    </row>
    <row r="34" spans="1:14" ht="42" x14ac:dyDescent="0.2">
      <c r="A34" s="28">
        <v>10</v>
      </c>
      <c r="B34" s="5">
        <v>5.9</v>
      </c>
      <c r="C34" s="33" t="s">
        <v>80</v>
      </c>
      <c r="D34" s="3"/>
      <c r="E34" s="3"/>
      <c r="F34" s="3"/>
      <c r="G34" s="3"/>
      <c r="H34" s="3"/>
      <c r="I34" s="14"/>
      <c r="J34" s="99"/>
      <c r="K34" s="177"/>
      <c r="L34" s="99">
        <f>J34*I34</f>
        <v>0</v>
      </c>
      <c r="M34" s="6"/>
      <c r="N34" s="27"/>
    </row>
    <row r="35" spans="1:14" ht="84" x14ac:dyDescent="0.2">
      <c r="A35" s="28">
        <v>11</v>
      </c>
      <c r="B35" s="5" t="s">
        <v>81</v>
      </c>
      <c r="C35" s="33" t="s">
        <v>310</v>
      </c>
      <c r="D35" s="3" t="s">
        <v>73</v>
      </c>
      <c r="E35" s="3"/>
      <c r="F35" s="3"/>
      <c r="G35" s="3"/>
      <c r="H35" s="3" t="s">
        <v>309</v>
      </c>
      <c r="I35" s="14">
        <f>SUM(I36:I39)</f>
        <v>89.089999999999989</v>
      </c>
      <c r="J35" s="99">
        <v>307.95</v>
      </c>
      <c r="K35" s="177">
        <v>684.32649000000004</v>
      </c>
      <c r="L35" s="99">
        <f>J35*I35</f>
        <v>27435.265499999994</v>
      </c>
      <c r="M35" s="6"/>
      <c r="N35" s="27"/>
    </row>
    <row r="36" spans="1:14" ht="22.5" x14ac:dyDescent="0.2">
      <c r="A36" s="28"/>
      <c r="B36" s="5"/>
      <c r="C36" s="3" t="str">
        <f>C44</f>
        <v xml:space="preserve">PIT </v>
      </c>
      <c r="D36" s="3"/>
      <c r="E36" s="99">
        <f>E44</f>
        <v>1</v>
      </c>
      <c r="F36" s="14">
        <f>F44+G44</f>
        <v>15.5</v>
      </c>
      <c r="G36" s="14">
        <v>2</v>
      </c>
      <c r="H36" s="14">
        <f>H44</f>
        <v>0.35</v>
      </c>
      <c r="I36" s="14">
        <f>PRODUCT(E36:H36)</f>
        <v>10.85</v>
      </c>
      <c r="J36" s="99"/>
      <c r="K36" s="177"/>
      <c r="L36" s="99"/>
      <c r="M36" s="6"/>
      <c r="N36" s="27"/>
    </row>
    <row r="37" spans="1:14" ht="22.5" x14ac:dyDescent="0.2">
      <c r="A37" s="28"/>
      <c r="B37" s="5"/>
      <c r="C37" s="3"/>
      <c r="D37" s="3"/>
      <c r="E37" s="99"/>
      <c r="F37" s="14">
        <f>F46+G46</f>
        <v>31.35</v>
      </c>
      <c r="G37" s="14">
        <v>2</v>
      </c>
      <c r="H37" s="14">
        <f>H46</f>
        <v>1.2</v>
      </c>
      <c r="I37" s="14">
        <f>PRODUCT(E37:H37)</f>
        <v>75.239999999999995</v>
      </c>
      <c r="J37" s="99"/>
      <c r="K37" s="177"/>
      <c r="L37" s="99"/>
      <c r="M37" s="6"/>
      <c r="N37" s="27"/>
    </row>
    <row r="38" spans="1:14" ht="22.5" x14ac:dyDescent="0.2">
      <c r="A38" s="28"/>
      <c r="B38" s="5"/>
      <c r="C38" s="3"/>
      <c r="D38" s="3"/>
      <c r="E38" s="99"/>
      <c r="F38" s="14">
        <f>F47</f>
        <v>6</v>
      </c>
      <c r="G38" s="14">
        <f>G47+H47</f>
        <v>1</v>
      </c>
      <c r="H38" s="14">
        <f>H47</f>
        <v>0.5</v>
      </c>
      <c r="I38" s="14">
        <f>PRODUCT(E38:H38)</f>
        <v>3</v>
      </c>
      <c r="J38" s="99"/>
      <c r="K38" s="177"/>
      <c r="L38" s="99"/>
      <c r="M38" s="6"/>
      <c r="N38" s="27"/>
    </row>
    <row r="39" spans="1:14" ht="22.5" x14ac:dyDescent="0.2">
      <c r="A39" s="28"/>
      <c r="B39" s="5"/>
      <c r="C39" s="33"/>
      <c r="D39" s="3"/>
      <c r="E39" s="99"/>
      <c r="F39" s="14"/>
      <c r="G39" s="14"/>
      <c r="H39" s="14"/>
      <c r="I39" s="14"/>
      <c r="J39" s="99"/>
      <c r="K39" s="177"/>
      <c r="L39" s="99"/>
      <c r="M39" s="6"/>
      <c r="N39" s="27"/>
    </row>
    <row r="40" spans="1:14" ht="22.5" x14ac:dyDescent="0.2">
      <c r="A40" s="28"/>
      <c r="B40" s="5"/>
      <c r="C40" s="33"/>
      <c r="D40" s="3"/>
      <c r="E40" s="3"/>
      <c r="F40" s="3"/>
      <c r="G40" s="3"/>
      <c r="H40" s="3"/>
      <c r="I40" s="14"/>
      <c r="J40" s="99"/>
      <c r="K40" s="177"/>
      <c r="L40" s="99">
        <f>J40*I40</f>
        <v>0</v>
      </c>
      <c r="M40" s="6"/>
      <c r="N40" s="27"/>
    </row>
    <row r="41" spans="1:14" ht="409.5" x14ac:dyDescent="0.2">
      <c r="A41" s="28">
        <v>12</v>
      </c>
      <c r="B41" s="5">
        <v>5.33</v>
      </c>
      <c r="C41" s="33" t="s">
        <v>312</v>
      </c>
      <c r="D41" s="3"/>
      <c r="E41" s="3"/>
      <c r="F41" s="3"/>
      <c r="G41" s="3"/>
      <c r="H41" s="3"/>
      <c r="I41" s="14"/>
      <c r="J41" s="99"/>
      <c r="K41" s="177"/>
      <c r="L41" s="99">
        <f>J41*I41</f>
        <v>0</v>
      </c>
      <c r="M41" s="6"/>
      <c r="N41" s="27"/>
    </row>
    <row r="42" spans="1:14" ht="22.5" x14ac:dyDescent="0.2">
      <c r="A42" s="28"/>
      <c r="B42" s="5" t="s">
        <v>100</v>
      </c>
      <c r="C42" s="33" t="s">
        <v>101</v>
      </c>
      <c r="D42" s="3"/>
      <c r="E42" s="3"/>
      <c r="F42" s="3"/>
      <c r="G42" s="3"/>
      <c r="H42" s="3"/>
      <c r="I42" s="14"/>
      <c r="J42" s="99"/>
      <c r="K42" s="177"/>
      <c r="L42" s="99">
        <f>J42*I42</f>
        <v>0</v>
      </c>
      <c r="M42" s="6"/>
      <c r="N42" s="27"/>
    </row>
    <row r="43" spans="1:14" ht="42" x14ac:dyDescent="0.2">
      <c r="A43" s="28"/>
      <c r="B43" s="5" t="s">
        <v>102</v>
      </c>
      <c r="C43" s="33" t="s">
        <v>313</v>
      </c>
      <c r="D43" s="3" t="s">
        <v>43</v>
      </c>
      <c r="E43" s="3"/>
      <c r="F43" s="3"/>
      <c r="G43" s="3"/>
      <c r="H43" s="3" t="s">
        <v>309</v>
      </c>
      <c r="I43" s="14">
        <f>SUM(I44:I47)</f>
        <v>28.919999999999995</v>
      </c>
      <c r="J43" s="99">
        <v>7997.3</v>
      </c>
      <c r="K43" s="177">
        <v>6051.5569100000002</v>
      </c>
      <c r="L43" s="99">
        <f>J43*I43</f>
        <v>231281.91599999997</v>
      </c>
      <c r="M43" s="6"/>
      <c r="N43" s="27"/>
    </row>
    <row r="44" spans="1:14" ht="22.5" x14ac:dyDescent="0.2">
      <c r="A44" s="28"/>
      <c r="B44" s="5"/>
      <c r="C44" s="33" t="s">
        <v>422</v>
      </c>
      <c r="D44" s="3"/>
      <c r="E44" s="99">
        <f>E32</f>
        <v>1</v>
      </c>
      <c r="F44" s="2">
        <f>F32-0.2</f>
        <v>12</v>
      </c>
      <c r="G44" s="2">
        <f>G32-0.2</f>
        <v>3.4999999999999996</v>
      </c>
      <c r="H44" s="3">
        <v>0.35</v>
      </c>
      <c r="I44" s="14">
        <f>PRODUCT(E44:H44)</f>
        <v>14.699999999999996</v>
      </c>
      <c r="J44" s="99"/>
      <c r="K44" s="177"/>
      <c r="L44" s="99"/>
      <c r="M44" s="6"/>
      <c r="N44" s="27"/>
    </row>
    <row r="45" spans="1:14" ht="22.5" x14ac:dyDescent="0.2">
      <c r="A45" s="28"/>
      <c r="B45" s="5"/>
      <c r="C45" s="33"/>
      <c r="D45" s="3"/>
      <c r="E45" s="99"/>
      <c r="F45" s="2"/>
      <c r="G45" s="2"/>
      <c r="H45" s="3"/>
      <c r="I45" s="14"/>
      <c r="J45" s="99"/>
      <c r="K45" s="177"/>
      <c r="L45" s="99"/>
      <c r="M45" s="6"/>
      <c r="N45" s="27"/>
    </row>
    <row r="46" spans="1:14" ht="21" customHeight="1" x14ac:dyDescent="0.2">
      <c r="A46" s="28"/>
      <c r="B46" s="5"/>
      <c r="C46" s="33" t="s">
        <v>363</v>
      </c>
      <c r="D46" s="3"/>
      <c r="E46" s="99"/>
      <c r="F46" s="2">
        <f>F44+G44+F44+G44</f>
        <v>31</v>
      </c>
      <c r="G46" s="2">
        <v>0.35</v>
      </c>
      <c r="H46" s="3">
        <v>1.2</v>
      </c>
      <c r="I46" s="14">
        <f>PRODUCT(E46:H46)</f>
        <v>13.02</v>
      </c>
      <c r="J46" s="99"/>
      <c r="K46" s="177"/>
      <c r="L46" s="99"/>
      <c r="M46" s="6"/>
      <c r="N46" s="27"/>
    </row>
    <row r="47" spans="1:14" ht="22.5" x14ac:dyDescent="0.2">
      <c r="A47" s="28"/>
      <c r="B47" s="5"/>
      <c r="C47" s="33"/>
      <c r="D47" s="3"/>
      <c r="E47" s="3"/>
      <c r="F47" s="2">
        <v>6</v>
      </c>
      <c r="G47" s="3">
        <v>0.5</v>
      </c>
      <c r="H47" s="3">
        <v>0.5</v>
      </c>
      <c r="I47" s="14">
        <v>1.2</v>
      </c>
      <c r="J47" s="99"/>
      <c r="K47" s="177"/>
      <c r="L47" s="99"/>
      <c r="M47" s="6"/>
      <c r="N47" s="27"/>
    </row>
    <row r="48" spans="1:14" ht="22.5" x14ac:dyDescent="0.2">
      <c r="A48" s="28"/>
      <c r="B48" s="5"/>
      <c r="C48" s="33"/>
      <c r="D48" s="3"/>
      <c r="E48" s="3"/>
      <c r="F48" s="3"/>
      <c r="G48" s="3"/>
      <c r="H48" s="3"/>
      <c r="I48" s="14"/>
      <c r="J48" s="99"/>
      <c r="K48" s="177"/>
      <c r="L48" s="99"/>
      <c r="M48" s="6"/>
      <c r="N48" s="27"/>
    </row>
    <row r="49" spans="1:14" ht="42" x14ac:dyDescent="0.2">
      <c r="A49" s="28">
        <v>13</v>
      </c>
      <c r="B49" s="5" t="s">
        <v>104</v>
      </c>
      <c r="C49" s="33" t="s">
        <v>315</v>
      </c>
      <c r="D49" s="3" t="s">
        <v>43</v>
      </c>
      <c r="E49" s="3"/>
      <c r="F49" s="3"/>
      <c r="G49" s="3"/>
      <c r="H49" s="3"/>
      <c r="I49" s="14"/>
      <c r="J49" s="99">
        <v>8599.35</v>
      </c>
      <c r="K49" s="177">
        <v>6262.0466699999997</v>
      </c>
      <c r="L49" s="99">
        <f>J49*I49</f>
        <v>0</v>
      </c>
      <c r="M49" s="6"/>
      <c r="N49" s="27"/>
    </row>
    <row r="50" spans="1:14" ht="22.5" x14ac:dyDescent="0.2">
      <c r="A50" s="28"/>
      <c r="B50" s="5" t="s">
        <v>106</v>
      </c>
      <c r="C50" s="33" t="s">
        <v>107</v>
      </c>
      <c r="D50" s="3"/>
      <c r="E50" s="3"/>
      <c r="F50" s="3"/>
      <c r="G50" s="3"/>
      <c r="H50" s="3"/>
      <c r="I50" s="14"/>
      <c r="J50" s="99"/>
      <c r="K50" s="177">
        <v>0</v>
      </c>
      <c r="L50" s="99">
        <f>J50*I50</f>
        <v>0</v>
      </c>
      <c r="M50" s="6"/>
      <c r="N50" s="27"/>
    </row>
    <row r="51" spans="1:14" ht="42" x14ac:dyDescent="0.2">
      <c r="A51" s="28">
        <v>14</v>
      </c>
      <c r="B51" s="5" t="s">
        <v>108</v>
      </c>
      <c r="C51" s="33" t="s">
        <v>313</v>
      </c>
      <c r="D51" s="3" t="s">
        <v>43</v>
      </c>
      <c r="E51" s="3"/>
      <c r="F51" s="3"/>
      <c r="G51" s="3"/>
      <c r="H51" s="3" t="s">
        <v>309</v>
      </c>
      <c r="I51" s="14">
        <f>SUM(I52:I52)</f>
        <v>0</v>
      </c>
      <c r="J51" s="99">
        <v>10080.15</v>
      </c>
      <c r="K51" s="177">
        <v>6660.9631200000003</v>
      </c>
      <c r="L51" s="99">
        <f>J51*I51</f>
        <v>0</v>
      </c>
      <c r="M51" s="6"/>
      <c r="N51" s="27"/>
    </row>
    <row r="52" spans="1:14" ht="22.5" x14ac:dyDescent="0.2">
      <c r="A52" s="28"/>
      <c r="B52" s="5"/>
      <c r="C52" s="33"/>
      <c r="D52" s="3"/>
      <c r="E52" s="3"/>
      <c r="F52" s="3"/>
      <c r="G52" s="3"/>
      <c r="H52" s="3"/>
      <c r="I52" s="14"/>
      <c r="J52" s="99"/>
      <c r="K52" s="177"/>
      <c r="L52" s="99"/>
      <c r="M52" s="6"/>
      <c r="N52" s="27"/>
    </row>
    <row r="53" spans="1:14" ht="42" x14ac:dyDescent="0.2">
      <c r="A53" s="28"/>
      <c r="B53" s="5" t="s">
        <v>109</v>
      </c>
      <c r="C53" s="33" t="s">
        <v>315</v>
      </c>
      <c r="D53" s="3" t="s">
        <v>43</v>
      </c>
      <c r="E53" s="3"/>
      <c r="F53" s="3"/>
      <c r="G53" s="3"/>
      <c r="H53" s="3"/>
      <c r="I53" s="14"/>
      <c r="J53" s="99">
        <v>10221.700000000001</v>
      </c>
      <c r="K53" s="177">
        <v>6870.0045700000001</v>
      </c>
      <c r="L53" s="99">
        <f>J53*I53</f>
        <v>0</v>
      </c>
      <c r="M53" s="6"/>
      <c r="N53" s="27"/>
    </row>
    <row r="54" spans="1:14" ht="105" x14ac:dyDescent="0.2">
      <c r="A54" s="28">
        <v>14</v>
      </c>
      <c r="B54" s="5">
        <v>5.22</v>
      </c>
      <c r="C54" s="33" t="s">
        <v>316</v>
      </c>
      <c r="D54" s="8"/>
      <c r="E54" s="8"/>
      <c r="F54" s="8"/>
      <c r="G54" s="8"/>
      <c r="H54" s="8"/>
      <c r="I54" s="14"/>
      <c r="J54" s="99"/>
      <c r="K54" s="177">
        <v>0</v>
      </c>
      <c r="L54" s="99">
        <f>J54*I54</f>
        <v>0</v>
      </c>
      <c r="M54" s="6"/>
      <c r="N54" s="27"/>
    </row>
    <row r="55" spans="1:14" ht="42" x14ac:dyDescent="0.2">
      <c r="A55" s="28">
        <v>15</v>
      </c>
      <c r="B55" s="5" t="s">
        <v>110</v>
      </c>
      <c r="C55" s="33" t="s">
        <v>111</v>
      </c>
      <c r="D55" s="3" t="s">
        <v>112</v>
      </c>
      <c r="E55" s="3"/>
      <c r="F55" s="3"/>
      <c r="G55" s="3"/>
      <c r="H55" s="3" t="s">
        <v>309</v>
      </c>
      <c r="I55" s="35">
        <f>SUM(I56)</f>
        <v>1735.1999999999996</v>
      </c>
      <c r="J55" s="99">
        <v>89.65</v>
      </c>
      <c r="K55" s="177">
        <v>90.716835000000003</v>
      </c>
      <c r="L55" s="99">
        <f>J55*I55</f>
        <v>155560.67999999996</v>
      </c>
      <c r="M55" s="6"/>
      <c r="N55" s="27"/>
    </row>
    <row r="56" spans="1:14" ht="22.5" x14ac:dyDescent="0.2">
      <c r="A56" s="28"/>
      <c r="B56" s="5"/>
      <c r="C56" s="33"/>
      <c r="D56" s="3"/>
      <c r="E56" s="3">
        <v>60</v>
      </c>
      <c r="F56" s="3"/>
      <c r="G56" s="6"/>
      <c r="H56" s="14">
        <f>I51+I43</f>
        <v>28.919999999999995</v>
      </c>
      <c r="I56" s="14">
        <f>PRODUCT(E56:H56)</f>
        <v>1735.1999999999996</v>
      </c>
      <c r="J56" s="99"/>
      <c r="K56" s="177"/>
      <c r="L56" s="99"/>
      <c r="M56" s="6"/>
      <c r="N56" s="27"/>
    </row>
    <row r="57" spans="1:14" ht="105" x14ac:dyDescent="0.2">
      <c r="A57" s="28">
        <v>15</v>
      </c>
      <c r="B57" s="5">
        <v>4.7</v>
      </c>
      <c r="C57" s="33" t="s">
        <v>377</v>
      </c>
      <c r="D57" s="3"/>
      <c r="E57" s="3"/>
      <c r="F57" s="3" t="s">
        <v>378</v>
      </c>
      <c r="G57" s="3"/>
      <c r="H57" s="3"/>
      <c r="I57" s="35"/>
      <c r="J57" s="99"/>
      <c r="K57" s="177">
        <v>0</v>
      </c>
      <c r="L57" s="99">
        <f>J57*I57</f>
        <v>0</v>
      </c>
      <c r="M57" s="6"/>
      <c r="N57" s="27"/>
    </row>
    <row r="58" spans="1:14" ht="63" customHeight="1" x14ac:dyDescent="0.2">
      <c r="A58" s="28">
        <v>16</v>
      </c>
      <c r="B58" s="5" t="s">
        <v>116</v>
      </c>
      <c r="C58" s="33" t="s">
        <v>364</v>
      </c>
      <c r="D58" s="3" t="s">
        <v>43</v>
      </c>
      <c r="E58" s="3"/>
      <c r="F58" s="3"/>
      <c r="G58" s="3"/>
      <c r="H58" s="3" t="s">
        <v>309</v>
      </c>
      <c r="I58" s="14">
        <f>SUM(I59:I59)</f>
        <v>0.8640000000000001</v>
      </c>
      <c r="J58" s="99">
        <v>15762.45</v>
      </c>
      <c r="K58" s="177">
        <v>8448.6731999999993</v>
      </c>
      <c r="L58" s="99">
        <f>J58*I58</f>
        <v>13618.756800000003</v>
      </c>
      <c r="M58" s="6"/>
      <c r="N58" s="27"/>
    </row>
    <row r="59" spans="1:14" ht="22.5" x14ac:dyDescent="0.2">
      <c r="A59" s="28"/>
      <c r="B59" s="5"/>
      <c r="C59" s="33" t="s">
        <v>379</v>
      </c>
      <c r="D59" s="3"/>
      <c r="E59" s="99"/>
      <c r="F59" s="99">
        <f>3.6</f>
        <v>3.6</v>
      </c>
      <c r="G59" s="3">
        <v>0.2</v>
      </c>
      <c r="H59" s="3">
        <v>1.2</v>
      </c>
      <c r="I59" s="14">
        <f>PRODUCT(E59:H59)</f>
        <v>0.8640000000000001</v>
      </c>
      <c r="J59" s="99"/>
      <c r="K59" s="177"/>
      <c r="L59" s="99"/>
      <c r="M59" s="6"/>
      <c r="N59" s="27"/>
    </row>
    <row r="60" spans="1:14" ht="105" x14ac:dyDescent="0.2">
      <c r="A60" s="28">
        <v>17</v>
      </c>
      <c r="B60" s="5">
        <v>6.13</v>
      </c>
      <c r="C60" s="33" t="s">
        <v>380</v>
      </c>
      <c r="D60" s="3" t="s">
        <v>73</v>
      </c>
      <c r="E60" s="3"/>
      <c r="F60" s="3"/>
      <c r="G60" s="3"/>
      <c r="H60" s="3"/>
      <c r="I60" s="14"/>
      <c r="J60" s="99"/>
      <c r="K60" s="177"/>
      <c r="L60" s="99">
        <f>J60*I60</f>
        <v>0</v>
      </c>
      <c r="M60" s="6"/>
      <c r="N60" s="27"/>
    </row>
    <row r="61" spans="1:14" ht="22.5" x14ac:dyDescent="0.2">
      <c r="A61" s="28"/>
      <c r="B61" s="5" t="s">
        <v>119</v>
      </c>
      <c r="C61" s="33" t="s">
        <v>120</v>
      </c>
      <c r="D61" s="3" t="s">
        <v>73</v>
      </c>
      <c r="E61" s="3"/>
      <c r="F61" s="3"/>
      <c r="G61" s="3"/>
      <c r="H61" s="3"/>
      <c r="I61" s="14"/>
      <c r="J61" s="99">
        <v>1018.05</v>
      </c>
      <c r="K61" s="177">
        <v>1128.915645</v>
      </c>
      <c r="L61" s="99">
        <f>J61*I61</f>
        <v>0</v>
      </c>
      <c r="M61" s="6"/>
      <c r="N61" s="27"/>
    </row>
    <row r="62" spans="1:14" ht="22.5" x14ac:dyDescent="0.2">
      <c r="A62" s="28"/>
      <c r="B62" s="5"/>
      <c r="C62" s="33"/>
      <c r="D62" s="3"/>
      <c r="E62" s="3"/>
      <c r="F62" s="3"/>
      <c r="G62" s="3"/>
      <c r="H62" s="3"/>
      <c r="I62" s="14"/>
      <c r="J62" s="99"/>
      <c r="K62" s="177"/>
      <c r="L62" s="99"/>
      <c r="M62" s="6"/>
      <c r="N62" s="27"/>
    </row>
    <row r="63" spans="1:14" ht="22.5" x14ac:dyDescent="0.2">
      <c r="A63" s="28"/>
      <c r="B63" s="5"/>
      <c r="C63" s="33"/>
      <c r="D63" s="3"/>
      <c r="E63" s="3"/>
      <c r="F63" s="3"/>
      <c r="G63" s="3"/>
      <c r="H63" s="3"/>
      <c r="I63" s="14"/>
      <c r="J63" s="99"/>
      <c r="K63" s="177"/>
      <c r="L63" s="99"/>
      <c r="M63" s="6"/>
      <c r="N63" s="27"/>
    </row>
    <row r="64" spans="1:14" ht="222.75" x14ac:dyDescent="0.2">
      <c r="A64" s="28">
        <v>18</v>
      </c>
      <c r="B64" s="332">
        <v>13</v>
      </c>
      <c r="C64" s="334" t="s">
        <v>121</v>
      </c>
      <c r="D64" s="332"/>
      <c r="E64" s="3"/>
      <c r="F64" s="3"/>
      <c r="G64" s="3"/>
      <c r="H64" s="3"/>
      <c r="I64" s="14"/>
      <c r="J64" s="99"/>
      <c r="K64" s="177"/>
      <c r="L64" s="99"/>
      <c r="M64" s="6"/>
      <c r="N64" s="27"/>
    </row>
    <row r="65" spans="1:14" ht="22.5" x14ac:dyDescent="0.2">
      <c r="A65" s="28"/>
      <c r="B65" s="332">
        <v>13.1</v>
      </c>
      <c r="C65" s="333" t="s">
        <v>122</v>
      </c>
      <c r="D65" s="332"/>
      <c r="E65" s="3"/>
      <c r="F65" s="3"/>
      <c r="G65" s="3"/>
      <c r="H65" s="3"/>
      <c r="I65" s="14"/>
      <c r="J65" s="99"/>
      <c r="K65" s="177"/>
      <c r="L65" s="99"/>
      <c r="M65" s="6"/>
      <c r="N65" s="27"/>
    </row>
    <row r="66" spans="1:14" ht="22.5" x14ac:dyDescent="0.2">
      <c r="A66" s="28"/>
      <c r="B66" s="332" t="s">
        <v>123</v>
      </c>
      <c r="C66" s="333" t="s">
        <v>124</v>
      </c>
      <c r="D66" s="332" t="s">
        <v>73</v>
      </c>
      <c r="E66" s="3"/>
      <c r="F66" s="3"/>
      <c r="G66" s="3"/>
      <c r="H66" s="3"/>
      <c r="I66" s="14">
        <f>I58*2/0.2</f>
        <v>8.64</v>
      </c>
      <c r="J66" s="99">
        <v>294.85000000000002</v>
      </c>
      <c r="K66" s="177"/>
      <c r="L66" s="99">
        <f>J66*I66</f>
        <v>2547.5040000000004</v>
      </c>
      <c r="M66" s="6"/>
      <c r="N66" s="27"/>
    </row>
    <row r="67" spans="1:14" ht="182.25" x14ac:dyDescent="0.2">
      <c r="A67" s="28">
        <v>19</v>
      </c>
      <c r="B67" s="332"/>
      <c r="C67" s="334" t="s">
        <v>125</v>
      </c>
      <c r="D67" s="332"/>
      <c r="E67" s="3"/>
      <c r="F67" s="3"/>
      <c r="G67" s="3"/>
      <c r="H67" s="3"/>
      <c r="I67" s="14"/>
      <c r="J67" s="99"/>
      <c r="K67" s="177"/>
      <c r="L67" s="99"/>
      <c r="M67" s="6"/>
      <c r="N67" s="27"/>
    </row>
    <row r="68" spans="1:14" ht="22.5" x14ac:dyDescent="0.2">
      <c r="A68" s="28"/>
      <c r="B68" s="332">
        <v>13.3</v>
      </c>
      <c r="C68" s="335" t="s">
        <v>126</v>
      </c>
      <c r="D68" s="332"/>
      <c r="E68" s="3"/>
      <c r="F68" s="3"/>
      <c r="G68" s="3"/>
      <c r="H68" s="3"/>
      <c r="I68" s="14"/>
      <c r="J68" s="99"/>
      <c r="K68" s="177"/>
      <c r="L68" s="99"/>
      <c r="M68" s="6"/>
      <c r="N68" s="27"/>
    </row>
    <row r="69" spans="1:14" ht="22.5" x14ac:dyDescent="0.2">
      <c r="A69" s="28"/>
      <c r="B69" s="332" t="s">
        <v>127</v>
      </c>
      <c r="C69" s="333" t="s">
        <v>124</v>
      </c>
      <c r="D69" s="332" t="s">
        <v>73</v>
      </c>
      <c r="E69" s="3"/>
      <c r="F69" s="3"/>
      <c r="G69" s="6"/>
      <c r="H69" s="14"/>
      <c r="I69" s="14">
        <f>I58/0.2</f>
        <v>4.32</v>
      </c>
      <c r="J69" s="99">
        <v>402.15</v>
      </c>
      <c r="K69" s="177"/>
      <c r="L69" s="99">
        <f>J69*I69</f>
        <v>1737.288</v>
      </c>
      <c r="M69" s="6"/>
      <c r="N69" s="27"/>
    </row>
    <row r="70" spans="1:14" ht="22.5" x14ac:dyDescent="0.2">
      <c r="A70" s="28"/>
      <c r="B70" s="357"/>
      <c r="C70" s="358"/>
      <c r="D70" s="357"/>
      <c r="E70" s="3"/>
      <c r="F70" s="3"/>
      <c r="G70" s="6"/>
      <c r="H70" s="14"/>
      <c r="I70" s="14"/>
      <c r="J70" s="99"/>
      <c r="K70" s="177"/>
      <c r="L70" s="99"/>
      <c r="M70" s="6"/>
      <c r="N70" s="27"/>
    </row>
    <row r="71" spans="1:14" ht="20.25" x14ac:dyDescent="0.3">
      <c r="A71" s="556" t="s">
        <v>336</v>
      </c>
      <c r="B71" s="557"/>
      <c r="C71" s="557"/>
      <c r="D71" s="557"/>
      <c r="E71" s="557"/>
      <c r="F71" s="557"/>
      <c r="G71" s="557"/>
      <c r="H71" s="557"/>
      <c r="I71" s="557"/>
      <c r="J71" s="557"/>
      <c r="K71" s="180"/>
      <c r="L71" s="99">
        <f>SUM(L7:L69)</f>
        <v>510619.86139999994</v>
      </c>
      <c r="M71" s="48"/>
      <c r="N71" s="27"/>
    </row>
    <row r="72" spans="1:14" x14ac:dyDescent="0.2">
      <c r="A72" s="49"/>
      <c r="B72" s="50"/>
      <c r="C72" s="51"/>
      <c r="D72" s="50"/>
      <c r="E72" s="50"/>
      <c r="F72" s="50"/>
      <c r="G72" s="50"/>
      <c r="H72" s="50"/>
      <c r="I72" s="52"/>
      <c r="J72" s="171"/>
      <c r="K72" s="181"/>
      <c r="L72" s="165"/>
      <c r="M72" s="6"/>
      <c r="N72" s="53"/>
    </row>
    <row r="73" spans="1:14" x14ac:dyDescent="0.2">
      <c r="A73" s="54"/>
      <c r="N73" s="57"/>
    </row>
    <row r="74" spans="1:14" x14ac:dyDescent="0.2">
      <c r="A74" s="54"/>
      <c r="N74" s="57"/>
    </row>
    <row r="75" spans="1:14" x14ac:dyDescent="0.2">
      <c r="A75" s="54"/>
      <c r="N75" s="57"/>
    </row>
    <row r="76" spans="1:14" x14ac:dyDescent="0.2">
      <c r="A76" s="54"/>
      <c r="N76" s="57"/>
    </row>
    <row r="77" spans="1:14" x14ac:dyDescent="0.2">
      <c r="A77" s="54"/>
      <c r="N77" s="57"/>
    </row>
    <row r="78" spans="1:14" x14ac:dyDescent="0.2">
      <c r="A78" s="54"/>
      <c r="N78" s="57"/>
    </row>
    <row r="79" spans="1:14" x14ac:dyDescent="0.2">
      <c r="A79" s="54"/>
      <c r="N79" s="57"/>
    </row>
    <row r="80" spans="1:14" x14ac:dyDescent="0.2">
      <c r="A80" s="54"/>
      <c r="N80" s="57"/>
    </row>
    <row r="81" spans="1:14" x14ac:dyDescent="0.2">
      <c r="A81" s="54"/>
      <c r="N81" s="57"/>
    </row>
    <row r="82" spans="1:14" x14ac:dyDescent="0.2">
      <c r="A82" s="58"/>
      <c r="B82" s="59"/>
      <c r="C82" s="60"/>
      <c r="D82" s="59"/>
      <c r="E82" s="59"/>
      <c r="F82" s="59"/>
      <c r="G82" s="59"/>
      <c r="H82" s="59"/>
      <c r="I82" s="61"/>
      <c r="J82" s="167"/>
      <c r="K82" s="183"/>
      <c r="L82" s="167"/>
      <c r="M82" s="59"/>
      <c r="N82" s="62"/>
    </row>
  </sheetData>
  <protectedRanges>
    <protectedRange sqref="N2" name="Range1"/>
  </protectedRanges>
  <autoFilter ref="A6:N10"/>
  <mergeCells count="7">
    <mergeCell ref="A4:N4"/>
    <mergeCell ref="A71:J71"/>
    <mergeCell ref="A1:N1"/>
    <mergeCell ref="A2:B2"/>
    <mergeCell ref="C2:L2"/>
    <mergeCell ref="M2:N2"/>
    <mergeCell ref="A3:N3"/>
  </mergeCells>
  <phoneticPr fontId="1" type="noConversion"/>
  <conditionalFormatting sqref="C24">
    <cfRule type="cellIs" dxfId="90" priority="3" stopIfTrue="1" operator="equal">
      <formula>#REF!</formula>
    </cfRule>
  </conditionalFormatting>
  <conditionalFormatting sqref="C64 C67">
    <cfRule type="cellIs" dxfId="89" priority="1" stopIfTrue="1" operator="equal">
      <formula>#REF!</formula>
    </cfRule>
  </conditionalFormatting>
  <pageMargins left="0.7" right="0.7" top="0.75" bottom="0.75" header="0.3" footer="0.3"/>
  <pageSetup scale="3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Y118"/>
  <sheetViews>
    <sheetView view="pageBreakPreview" topLeftCell="A28" zoomScale="55" zoomScaleNormal="55" workbookViewId="0">
      <selection activeCell="I8" sqref="I8"/>
    </sheetView>
  </sheetViews>
  <sheetFormatPr defaultColWidth="9.140625" defaultRowHeight="12.75" x14ac:dyDescent="0.2"/>
  <cols>
    <col min="1" max="1" width="13.85546875" style="7" customWidth="1"/>
    <col min="2" max="2" width="76.28515625" style="55" customWidth="1"/>
    <col min="3" max="7" width="14.42578125" style="7" customWidth="1"/>
    <col min="8" max="8" width="21.85546875" style="56" customWidth="1"/>
    <col min="9" max="9" width="15" style="166" customWidth="1"/>
    <col min="10" max="10" width="15" style="182" hidden="1" customWidth="1"/>
    <col min="11" max="11" width="26.42578125" style="166" customWidth="1"/>
    <col min="12" max="12" width="23.85546875" style="7" customWidth="1"/>
    <col min="13" max="13" width="40.7109375" style="7" customWidth="1"/>
    <col min="14" max="14" width="9.140625" style="7" customWidth="1"/>
    <col min="15" max="16" width="14.5703125" style="7" customWidth="1"/>
    <col min="17" max="21" width="9.140625" style="7" customWidth="1"/>
    <col min="22" max="22" width="16.5703125" style="7" customWidth="1"/>
    <col min="23" max="23" width="9.140625" style="7" customWidth="1"/>
    <col min="24" max="16384" width="9.140625" style="7"/>
  </cols>
  <sheetData>
    <row r="1" spans="1:13" ht="306.75" customHeight="1" x14ac:dyDescent="0.2">
      <c r="A1" s="559"/>
      <c r="B1" s="559"/>
      <c r="C1" s="559"/>
      <c r="D1" s="559"/>
      <c r="E1" s="559"/>
      <c r="F1" s="559"/>
      <c r="G1" s="559"/>
      <c r="H1" s="559"/>
      <c r="I1" s="559"/>
      <c r="J1" s="559"/>
      <c r="K1" s="559"/>
      <c r="L1" s="559"/>
      <c r="M1" s="560"/>
    </row>
    <row r="2" spans="1:13" ht="89.25" customHeight="1" x14ac:dyDescent="0.2">
      <c r="A2" s="162"/>
      <c r="B2" s="563" t="s">
        <v>13</v>
      </c>
      <c r="C2" s="564"/>
      <c r="D2" s="564"/>
      <c r="E2" s="564"/>
      <c r="F2" s="564"/>
      <c r="G2" s="564"/>
      <c r="H2" s="564"/>
      <c r="I2" s="564"/>
      <c r="J2" s="564"/>
      <c r="K2" s="565"/>
      <c r="L2" s="566" t="s">
        <v>14</v>
      </c>
      <c r="M2" s="567"/>
    </row>
    <row r="3" spans="1:13" ht="20.25" x14ac:dyDescent="0.2">
      <c r="A3" s="569"/>
      <c r="B3" s="569"/>
      <c r="C3" s="569"/>
      <c r="D3" s="569"/>
      <c r="E3" s="569"/>
      <c r="F3" s="569"/>
      <c r="G3" s="569"/>
      <c r="H3" s="569"/>
      <c r="I3" s="569"/>
      <c r="J3" s="569"/>
      <c r="K3" s="569"/>
      <c r="L3" s="569"/>
      <c r="M3" s="570"/>
    </row>
    <row r="4" spans="1:13" ht="20.25" x14ac:dyDescent="0.2">
      <c r="A4" s="554"/>
      <c r="B4" s="554"/>
      <c r="C4" s="554"/>
      <c r="D4" s="554"/>
      <c r="E4" s="554"/>
      <c r="F4" s="554"/>
      <c r="G4" s="554"/>
      <c r="H4" s="554"/>
      <c r="I4" s="554"/>
      <c r="J4" s="554"/>
      <c r="K4" s="554"/>
      <c r="L4" s="554"/>
      <c r="M4" s="555"/>
    </row>
    <row r="5" spans="1:13" ht="60.75" x14ac:dyDescent="0.2">
      <c r="A5" s="64" t="s">
        <v>17</v>
      </c>
      <c r="B5" s="18" t="s">
        <v>18</v>
      </c>
      <c r="C5" s="19" t="s">
        <v>19</v>
      </c>
      <c r="D5" s="20" t="s">
        <v>180</v>
      </c>
      <c r="E5" s="20" t="s">
        <v>302</v>
      </c>
      <c r="F5" s="20" t="s">
        <v>303</v>
      </c>
      <c r="G5" s="20" t="s">
        <v>304</v>
      </c>
      <c r="H5" s="21" t="s">
        <v>305</v>
      </c>
      <c r="I5" s="170" t="s">
        <v>37</v>
      </c>
      <c r="J5" s="175" t="s">
        <v>306</v>
      </c>
      <c r="K5" s="21" t="s">
        <v>38</v>
      </c>
      <c r="L5" s="22" t="s">
        <v>39</v>
      </c>
      <c r="M5" s="23" t="s">
        <v>40</v>
      </c>
    </row>
    <row r="6" spans="1:13" ht="22.5" x14ac:dyDescent="0.2">
      <c r="A6" s="65"/>
      <c r="B6" s="25"/>
      <c r="C6" s="20"/>
      <c r="D6" s="20"/>
      <c r="E6" s="20"/>
      <c r="F6" s="20"/>
      <c r="G6" s="20"/>
      <c r="H6" s="26"/>
      <c r="I6" s="101"/>
      <c r="J6" s="176"/>
      <c r="K6" s="26"/>
      <c r="L6" s="6"/>
      <c r="M6" s="27"/>
    </row>
    <row r="7" spans="1:13" ht="164.25" customHeight="1" x14ac:dyDescent="0.2">
      <c r="A7" s="5">
        <v>2.6</v>
      </c>
      <c r="B7" s="33" t="s">
        <v>41</v>
      </c>
      <c r="C7" s="3"/>
      <c r="D7" s="3"/>
      <c r="E7" s="3"/>
      <c r="F7" s="3"/>
      <c r="G7" s="3"/>
      <c r="H7" s="14"/>
      <c r="I7" s="99"/>
      <c r="J7" s="177"/>
      <c r="K7" s="99"/>
      <c r="L7" s="6"/>
      <c r="M7" s="27"/>
    </row>
    <row r="8" spans="1:13" ht="21" x14ac:dyDescent="0.2">
      <c r="A8" s="5"/>
      <c r="B8" s="33" t="s">
        <v>42</v>
      </c>
      <c r="C8" s="3" t="s">
        <v>43</v>
      </c>
      <c r="D8" s="3"/>
      <c r="E8" s="3"/>
      <c r="F8" s="3"/>
      <c r="G8" s="3"/>
      <c r="H8" s="14">
        <f>SUM(H9:H11)</f>
        <v>76.800000000000011</v>
      </c>
      <c r="I8" s="99">
        <v>205.45</v>
      </c>
      <c r="J8" s="177">
        <v>215.04451499999999</v>
      </c>
      <c r="K8" s="354">
        <f>I8*H8</f>
        <v>15778.560000000001</v>
      </c>
      <c r="L8" s="6"/>
      <c r="M8" s="27"/>
    </row>
    <row r="9" spans="1:13" ht="21" x14ac:dyDescent="0.2">
      <c r="A9" s="5"/>
      <c r="B9" s="33" t="s">
        <v>342</v>
      </c>
      <c r="C9" s="3"/>
      <c r="D9" s="14">
        <f>90/3</f>
        <v>30</v>
      </c>
      <c r="E9" s="14">
        <f>1+0.6</f>
        <v>1.6</v>
      </c>
      <c r="F9" s="14">
        <f>1+0.6</f>
        <v>1.6</v>
      </c>
      <c r="G9" s="14">
        <v>1</v>
      </c>
      <c r="H9" s="14">
        <f>PRODUCT(D9:G9)</f>
        <v>76.800000000000011</v>
      </c>
      <c r="I9" s="99"/>
      <c r="J9" s="177"/>
      <c r="K9" s="99"/>
      <c r="L9" s="6"/>
      <c r="M9" s="27"/>
    </row>
    <row r="10" spans="1:13" ht="21" x14ac:dyDescent="0.2">
      <c r="A10" s="5"/>
      <c r="B10" s="33"/>
      <c r="C10" s="3"/>
      <c r="D10" s="14"/>
      <c r="E10" s="14"/>
      <c r="F10" s="14"/>
      <c r="G10" s="14"/>
      <c r="H10" s="14"/>
      <c r="I10" s="99"/>
      <c r="J10" s="177"/>
      <c r="K10" s="99"/>
      <c r="L10" s="6"/>
      <c r="M10" s="27"/>
    </row>
    <row r="11" spans="1:13" ht="21" x14ac:dyDescent="0.2">
      <c r="A11" s="5"/>
      <c r="B11" s="33"/>
      <c r="C11" s="3"/>
      <c r="D11" s="14"/>
      <c r="E11" s="14"/>
      <c r="F11" s="14"/>
      <c r="G11" s="14"/>
      <c r="H11" s="14"/>
      <c r="I11" s="99"/>
      <c r="J11" s="177"/>
      <c r="K11" s="99"/>
      <c r="L11" s="6"/>
      <c r="M11" s="27"/>
    </row>
    <row r="12" spans="1:13" ht="171.75" customHeight="1" x14ac:dyDescent="0.2">
      <c r="A12" s="5">
        <v>2.7</v>
      </c>
      <c r="B12" s="33" t="s">
        <v>44</v>
      </c>
      <c r="C12" s="3"/>
      <c r="D12" s="3"/>
      <c r="E12" s="3"/>
      <c r="F12" s="3"/>
      <c r="G12" s="3"/>
      <c r="H12" s="14"/>
      <c r="I12" s="99"/>
      <c r="J12" s="177">
        <v>0</v>
      </c>
      <c r="K12" s="99">
        <f t="shared" ref="K12:K20" si="0">I12*H12</f>
        <v>0</v>
      </c>
      <c r="L12" s="6"/>
      <c r="M12" s="27"/>
    </row>
    <row r="13" spans="1:13" ht="21" x14ac:dyDescent="0.2">
      <c r="A13" s="5" t="s">
        <v>45</v>
      </c>
      <c r="B13" s="33" t="s">
        <v>46</v>
      </c>
      <c r="C13" s="3" t="s">
        <v>43</v>
      </c>
      <c r="D13" s="3"/>
      <c r="E13" s="3"/>
      <c r="F13" s="3"/>
      <c r="G13" s="3"/>
      <c r="H13" s="14">
        <v>76.8</v>
      </c>
      <c r="I13" s="99">
        <v>412.95</v>
      </c>
      <c r="J13" s="177">
        <v>215.023065</v>
      </c>
      <c r="K13" s="99">
        <f t="shared" si="0"/>
        <v>31714.559999999998</v>
      </c>
      <c r="L13" s="6"/>
      <c r="M13" s="27"/>
    </row>
    <row r="14" spans="1:13" ht="60.75" x14ac:dyDescent="0.2">
      <c r="A14" s="29">
        <v>2.2599999999999998</v>
      </c>
      <c r="B14" s="30" t="s">
        <v>47</v>
      </c>
      <c r="C14" s="31"/>
      <c r="D14" s="31"/>
      <c r="E14" s="31"/>
      <c r="F14" s="31"/>
      <c r="G14" s="31"/>
      <c r="H14" s="14"/>
      <c r="I14" s="99"/>
      <c r="J14" s="177">
        <v>0</v>
      </c>
      <c r="K14" s="99">
        <f t="shared" si="0"/>
        <v>0</v>
      </c>
      <c r="L14" s="6"/>
      <c r="M14" s="27"/>
    </row>
    <row r="15" spans="1:13" ht="20.25" x14ac:dyDescent="0.2">
      <c r="A15" s="29" t="s">
        <v>48</v>
      </c>
      <c r="B15" s="30" t="s">
        <v>49</v>
      </c>
      <c r="C15" s="31" t="s">
        <v>50</v>
      </c>
      <c r="D15" s="31"/>
      <c r="E15" s="31"/>
      <c r="F15" s="31"/>
      <c r="G15" s="31"/>
      <c r="H15" s="14"/>
      <c r="I15" s="178">
        <v>105</v>
      </c>
      <c r="J15" s="177">
        <v>91.845050000000001</v>
      </c>
      <c r="K15" s="99">
        <f t="shared" si="0"/>
        <v>0</v>
      </c>
      <c r="L15" s="6"/>
      <c r="M15" s="27"/>
    </row>
    <row r="16" spans="1:13" ht="20.25" x14ac:dyDescent="0.2">
      <c r="A16" s="29" t="s">
        <v>51</v>
      </c>
      <c r="B16" s="30" t="s">
        <v>52</v>
      </c>
      <c r="C16" s="31" t="s">
        <v>50</v>
      </c>
      <c r="D16" s="31"/>
      <c r="E16" s="31"/>
      <c r="F16" s="31"/>
      <c r="G16" s="31"/>
      <c r="H16" s="14"/>
      <c r="I16" s="178">
        <v>187</v>
      </c>
      <c r="J16" s="177">
        <v>182.56507999999999</v>
      </c>
      <c r="K16" s="99">
        <f t="shared" si="0"/>
        <v>0</v>
      </c>
      <c r="L16" s="6"/>
      <c r="M16" s="27"/>
    </row>
    <row r="17" spans="1:13" ht="245.25" customHeight="1" x14ac:dyDescent="0.2">
      <c r="A17" s="5">
        <v>2.13</v>
      </c>
      <c r="B17" s="33" t="s">
        <v>53</v>
      </c>
      <c r="C17" s="3"/>
      <c r="D17" s="3"/>
      <c r="E17" s="3"/>
      <c r="F17" s="3"/>
      <c r="G17" s="3"/>
      <c r="H17" s="14"/>
      <c r="I17" s="99"/>
      <c r="J17" s="177">
        <v>0</v>
      </c>
      <c r="K17" s="99">
        <f t="shared" si="0"/>
        <v>0</v>
      </c>
      <c r="L17" s="6"/>
      <c r="M17" s="27"/>
    </row>
    <row r="18" spans="1:13" ht="37.5" customHeight="1" x14ac:dyDescent="0.2">
      <c r="A18" s="5" t="s">
        <v>54</v>
      </c>
      <c r="B18" s="33" t="s">
        <v>55</v>
      </c>
      <c r="C18" s="3" t="s">
        <v>56</v>
      </c>
      <c r="D18" s="3"/>
      <c r="E18" s="3"/>
      <c r="F18" s="3"/>
      <c r="G18" s="3"/>
      <c r="H18" s="14"/>
      <c r="I18" s="99">
        <v>933.35</v>
      </c>
      <c r="J18" s="177">
        <v>616.01099999999997</v>
      </c>
      <c r="K18" s="99">
        <f t="shared" si="0"/>
        <v>0</v>
      </c>
      <c r="L18" s="6"/>
      <c r="M18" s="27"/>
    </row>
    <row r="19" spans="1:13" ht="42" x14ac:dyDescent="0.2">
      <c r="A19" s="5" t="s">
        <v>57</v>
      </c>
      <c r="B19" s="33" t="s">
        <v>58</v>
      </c>
      <c r="C19" s="3" t="s">
        <v>56</v>
      </c>
      <c r="D19" s="3"/>
      <c r="E19" s="3"/>
      <c r="F19" s="3"/>
      <c r="G19" s="3"/>
      <c r="H19" s="14"/>
      <c r="I19" s="99">
        <v>1074</v>
      </c>
      <c r="J19" s="177">
        <v>873.59159999999997</v>
      </c>
      <c r="K19" s="99">
        <f t="shared" si="0"/>
        <v>0</v>
      </c>
      <c r="L19" s="6"/>
      <c r="M19" s="27"/>
    </row>
    <row r="20" spans="1:13" ht="142.5" customHeight="1" x14ac:dyDescent="0.2">
      <c r="A20" s="5">
        <v>2.25</v>
      </c>
      <c r="B20" s="33" t="s">
        <v>59</v>
      </c>
      <c r="C20" s="3" t="s">
        <v>60</v>
      </c>
      <c r="D20" s="3"/>
      <c r="E20" s="3"/>
      <c r="F20" s="3"/>
      <c r="G20" s="3"/>
      <c r="H20" s="14">
        <f>SUM(H21:H29)</f>
        <v>75.292500000000018</v>
      </c>
      <c r="I20" s="99">
        <v>253.95</v>
      </c>
      <c r="J20" s="177">
        <v>182.56465499999999</v>
      </c>
      <c r="K20" s="354">
        <f t="shared" si="0"/>
        <v>19120.530375000002</v>
      </c>
      <c r="L20" s="6"/>
      <c r="M20" s="27"/>
    </row>
    <row r="21" spans="1:13" ht="39" customHeight="1" x14ac:dyDescent="0.2">
      <c r="A21" s="5"/>
      <c r="B21" s="33"/>
      <c r="C21" s="3"/>
      <c r="D21" s="3"/>
      <c r="E21" s="3"/>
      <c r="F21" s="3"/>
      <c r="G21" s="14">
        <f>H8</f>
        <v>76.800000000000011</v>
      </c>
      <c r="H21" s="14">
        <f>PRODUCT(G21)</f>
        <v>76.800000000000011</v>
      </c>
      <c r="I21" s="99"/>
      <c r="J21" s="177"/>
      <c r="K21" s="99"/>
      <c r="L21" s="6"/>
      <c r="M21" s="27"/>
    </row>
    <row r="22" spans="1:13" ht="21" x14ac:dyDescent="0.2">
      <c r="A22" s="5"/>
      <c r="B22" s="33" t="s">
        <v>337</v>
      </c>
      <c r="C22" s="3"/>
      <c r="D22" s="3"/>
      <c r="E22" s="3"/>
      <c r="F22" s="3"/>
      <c r="G22" s="14">
        <f>-H44</f>
        <v>-106.13249999999999</v>
      </c>
      <c r="H22" s="14">
        <f>PRODUCT(G22)</f>
        <v>-106.13249999999999</v>
      </c>
      <c r="I22" s="99"/>
      <c r="J22" s="177"/>
      <c r="K22" s="99"/>
      <c r="L22" s="6"/>
      <c r="M22" s="27"/>
    </row>
    <row r="23" spans="1:13" ht="21" x14ac:dyDescent="0.2">
      <c r="A23" s="5"/>
      <c r="B23" s="33" t="s">
        <v>338</v>
      </c>
      <c r="C23" s="3"/>
      <c r="D23" s="3"/>
      <c r="E23" s="3"/>
      <c r="F23" s="3"/>
      <c r="G23" s="14">
        <f>-H56</f>
        <v>-9</v>
      </c>
      <c r="H23" s="14">
        <f>PRODUCT(G23)</f>
        <v>-9</v>
      </c>
      <c r="I23" s="99"/>
      <c r="J23" s="177"/>
      <c r="K23" s="99"/>
      <c r="L23" s="6"/>
      <c r="M23" s="27"/>
    </row>
    <row r="24" spans="1:13" ht="21" x14ac:dyDescent="0.2">
      <c r="A24" s="5"/>
      <c r="B24" s="33" t="s">
        <v>343</v>
      </c>
      <c r="C24" s="3"/>
      <c r="D24" s="3"/>
      <c r="E24" s="3"/>
      <c r="F24" s="3"/>
      <c r="G24" s="14">
        <f>-H73</f>
        <v>-1.575</v>
      </c>
      <c r="H24" s="14">
        <f>PRODUCT(G24)</f>
        <v>-1.575</v>
      </c>
      <c r="I24" s="99"/>
      <c r="J24" s="177"/>
      <c r="K24" s="99"/>
      <c r="L24" s="6"/>
      <c r="M24" s="27"/>
    </row>
    <row r="25" spans="1:13" ht="189" x14ac:dyDescent="0.2">
      <c r="A25" s="5">
        <v>16.79</v>
      </c>
      <c r="B25" s="33" t="s">
        <v>77</v>
      </c>
      <c r="C25" s="3" t="s">
        <v>43</v>
      </c>
      <c r="D25" s="3"/>
      <c r="E25" s="3"/>
      <c r="F25" s="3"/>
      <c r="G25" s="3" t="s">
        <v>309</v>
      </c>
      <c r="H25" s="14">
        <f>SUM(H26:H28)</f>
        <v>57.6</v>
      </c>
      <c r="I25" s="99">
        <v>2803.65</v>
      </c>
      <c r="J25" s="177">
        <v>1985.8252950000001</v>
      </c>
      <c r="K25" s="354">
        <f>I25*H25</f>
        <v>161490.24000000002</v>
      </c>
      <c r="L25" s="6"/>
      <c r="M25" s="27"/>
    </row>
    <row r="26" spans="1:13" ht="21" x14ac:dyDescent="0.2">
      <c r="A26" s="5"/>
      <c r="B26" s="33" t="s">
        <v>344</v>
      </c>
      <c r="C26" s="3"/>
      <c r="D26" s="3">
        <v>20</v>
      </c>
      <c r="E26" s="3">
        <v>6</v>
      </c>
      <c r="F26" s="3">
        <v>3</v>
      </c>
      <c r="G26" s="2">
        <v>0.15</v>
      </c>
      <c r="H26" s="14">
        <f>PRODUCT(E26:G26)</f>
        <v>2.6999999999999997</v>
      </c>
      <c r="I26" s="99"/>
      <c r="J26" s="177"/>
      <c r="K26" s="99"/>
      <c r="L26" s="6"/>
      <c r="M26" s="27"/>
    </row>
    <row r="27" spans="1:13" ht="21" x14ac:dyDescent="0.2">
      <c r="A27" s="5"/>
      <c r="B27" s="33" t="s">
        <v>345</v>
      </c>
      <c r="C27" s="3"/>
      <c r="D27" s="3">
        <v>100</v>
      </c>
      <c r="E27" s="3">
        <v>3</v>
      </c>
      <c r="F27" s="3">
        <v>2</v>
      </c>
      <c r="G27" s="2">
        <v>0.15</v>
      </c>
      <c r="H27" s="14">
        <f>PRODUCT(E27:G27)</f>
        <v>0.89999999999999991</v>
      </c>
      <c r="I27" s="99"/>
      <c r="J27" s="177"/>
      <c r="K27" s="99"/>
      <c r="L27" s="6"/>
      <c r="M27" s="27"/>
    </row>
    <row r="28" spans="1:13" ht="21" x14ac:dyDescent="0.2">
      <c r="A28" s="5"/>
      <c r="B28" s="33" t="s">
        <v>346</v>
      </c>
      <c r="C28" s="3"/>
      <c r="D28" s="3"/>
      <c r="E28" s="3">
        <v>60</v>
      </c>
      <c r="F28" s="3">
        <v>6</v>
      </c>
      <c r="G28" s="2">
        <v>0.15</v>
      </c>
      <c r="H28" s="14">
        <f>PRODUCT(E28:G28)</f>
        <v>54</v>
      </c>
      <c r="I28" s="99"/>
      <c r="J28" s="177"/>
      <c r="K28" s="99"/>
      <c r="L28" s="6"/>
      <c r="M28" s="27"/>
    </row>
    <row r="29" spans="1:13" ht="21" x14ac:dyDescent="0.2">
      <c r="A29" s="5"/>
      <c r="B29" s="33"/>
      <c r="C29" s="3"/>
      <c r="D29" s="3"/>
      <c r="E29" s="3"/>
      <c r="F29" s="3"/>
      <c r="G29" s="14"/>
      <c r="H29" s="14"/>
      <c r="I29" s="99"/>
      <c r="J29" s="177"/>
      <c r="K29" s="99"/>
      <c r="L29" s="6"/>
      <c r="M29" s="27"/>
    </row>
    <row r="30" spans="1:13" ht="84" x14ac:dyDescent="0.2">
      <c r="A30" s="5">
        <v>1.1000000000000001</v>
      </c>
      <c r="B30" s="33" t="s">
        <v>61</v>
      </c>
      <c r="C30" s="6"/>
      <c r="D30" s="6"/>
      <c r="E30" s="6"/>
      <c r="F30" s="6"/>
      <c r="G30" s="6"/>
      <c r="H30" s="14"/>
      <c r="I30" s="99"/>
      <c r="J30" s="177">
        <v>0</v>
      </c>
      <c r="K30" s="99">
        <f>I30*H30</f>
        <v>0</v>
      </c>
      <c r="L30" s="6"/>
      <c r="M30" s="27"/>
    </row>
    <row r="31" spans="1:13" ht="21" x14ac:dyDescent="0.2">
      <c r="A31" s="5" t="s">
        <v>62</v>
      </c>
      <c r="B31" s="33" t="s">
        <v>63</v>
      </c>
      <c r="C31" s="3" t="s">
        <v>60</v>
      </c>
      <c r="D31" s="3"/>
      <c r="E31" s="3"/>
      <c r="F31" s="3"/>
      <c r="G31" s="3"/>
      <c r="H31" s="14">
        <f>H8</f>
        <v>76.800000000000011</v>
      </c>
      <c r="I31" s="99">
        <v>271.45</v>
      </c>
      <c r="J31" s="177">
        <v>98.563495000000003</v>
      </c>
      <c r="K31" s="354">
        <f>I31*H31</f>
        <v>20847.36</v>
      </c>
      <c r="L31" s="6"/>
      <c r="M31" s="27"/>
    </row>
    <row r="32" spans="1:13" ht="21" x14ac:dyDescent="0.2">
      <c r="A32" s="5" t="s">
        <v>64</v>
      </c>
      <c r="B32" s="33" t="s">
        <v>65</v>
      </c>
      <c r="C32" s="3" t="s">
        <v>60</v>
      </c>
      <c r="D32" s="3"/>
      <c r="E32" s="3"/>
      <c r="F32" s="3"/>
      <c r="G32" s="3"/>
      <c r="H32" s="14"/>
      <c r="I32" s="99">
        <v>434.32</v>
      </c>
      <c r="J32" s="177">
        <v>147.84252799999999</v>
      </c>
      <c r="K32" s="99">
        <f>I32*H32</f>
        <v>0</v>
      </c>
      <c r="L32" s="6"/>
      <c r="M32" s="27"/>
    </row>
    <row r="33" spans="1:13" ht="186.75" customHeight="1" x14ac:dyDescent="0.2">
      <c r="A33" s="32">
        <v>810</v>
      </c>
      <c r="B33" s="15" t="s">
        <v>308</v>
      </c>
      <c r="C33" s="3"/>
      <c r="D33" s="3"/>
      <c r="E33" s="3"/>
      <c r="F33" s="3"/>
      <c r="G33" s="3"/>
      <c r="H33" s="14"/>
      <c r="I33" s="99"/>
      <c r="J33" s="177">
        <v>0</v>
      </c>
      <c r="K33" s="99">
        <f>I33*H33</f>
        <v>0</v>
      </c>
      <c r="L33" s="6"/>
      <c r="M33" s="27"/>
    </row>
    <row r="34" spans="1:13" ht="21" x14ac:dyDescent="0.2">
      <c r="A34" s="32">
        <v>810</v>
      </c>
      <c r="B34" s="33" t="s">
        <v>66</v>
      </c>
      <c r="C34" s="3" t="s">
        <v>60</v>
      </c>
      <c r="D34" s="3"/>
      <c r="E34" s="3"/>
      <c r="F34" s="3"/>
      <c r="G34" s="3"/>
      <c r="H34" s="14">
        <f>SUM(H36:H38)</f>
        <v>528</v>
      </c>
      <c r="I34" s="99">
        <v>500</v>
      </c>
      <c r="J34" s="177">
        <v>730.25</v>
      </c>
      <c r="K34" s="354">
        <f>I34*H34</f>
        <v>264000</v>
      </c>
      <c r="L34" s="6"/>
      <c r="M34" s="27"/>
    </row>
    <row r="35" spans="1:13" ht="21" x14ac:dyDescent="0.2">
      <c r="A35" s="32"/>
      <c r="B35" s="33"/>
      <c r="C35" s="3"/>
      <c r="D35" s="3"/>
      <c r="E35" s="3"/>
      <c r="F35" s="3"/>
      <c r="G35" s="3"/>
      <c r="H35" s="14"/>
      <c r="I35" s="99"/>
      <c r="J35" s="177"/>
      <c r="K35" s="99"/>
      <c r="L35" s="6"/>
      <c r="M35" s="27"/>
    </row>
    <row r="36" spans="1:13" ht="21" x14ac:dyDescent="0.2">
      <c r="A36" s="32"/>
      <c r="B36" s="33" t="s">
        <v>344</v>
      </c>
      <c r="C36" s="3"/>
      <c r="D36" s="3">
        <v>20</v>
      </c>
      <c r="E36" s="3">
        <f t="shared" ref="E36:F38" si="1">E26</f>
        <v>6</v>
      </c>
      <c r="F36" s="3">
        <f t="shared" si="1"/>
        <v>3</v>
      </c>
      <c r="G36" s="3">
        <v>0.4</v>
      </c>
      <c r="H36" s="14">
        <f>PRODUCT(D36:G36)</f>
        <v>144</v>
      </c>
      <c r="I36" s="99"/>
      <c r="J36" s="177"/>
      <c r="K36" s="99"/>
      <c r="L36" s="6"/>
      <c r="M36" s="27"/>
    </row>
    <row r="37" spans="1:13" ht="21" x14ac:dyDescent="0.2">
      <c r="A37" s="32"/>
      <c r="B37" s="33" t="s">
        <v>345</v>
      </c>
      <c r="C37" s="3"/>
      <c r="D37" s="3">
        <v>100</v>
      </c>
      <c r="E37" s="3">
        <f t="shared" si="1"/>
        <v>3</v>
      </c>
      <c r="F37" s="3">
        <f t="shared" si="1"/>
        <v>2</v>
      </c>
      <c r="G37" s="3">
        <v>0.4</v>
      </c>
      <c r="H37" s="14">
        <f>PRODUCT(D37:G37)</f>
        <v>240</v>
      </c>
      <c r="I37" s="99"/>
      <c r="J37" s="177"/>
      <c r="K37" s="99"/>
      <c r="L37" s="6"/>
      <c r="M37" s="27"/>
    </row>
    <row r="38" spans="1:13" ht="21" x14ac:dyDescent="0.2">
      <c r="A38" s="32"/>
      <c r="B38" s="33" t="str">
        <f>B28</f>
        <v xml:space="preserve">ROAD </v>
      </c>
      <c r="C38" s="3"/>
      <c r="D38" s="3"/>
      <c r="E38" s="3">
        <f t="shared" si="1"/>
        <v>60</v>
      </c>
      <c r="F38" s="3">
        <f t="shared" si="1"/>
        <v>6</v>
      </c>
      <c r="G38" s="3">
        <v>0.4</v>
      </c>
      <c r="H38" s="14">
        <f>PRODUCT(D38:G38)</f>
        <v>144</v>
      </c>
      <c r="I38" s="99"/>
      <c r="J38" s="177"/>
      <c r="K38" s="99"/>
      <c r="L38" s="6"/>
      <c r="M38" s="27"/>
    </row>
    <row r="39" spans="1:13" ht="21" x14ac:dyDescent="0.2">
      <c r="A39" s="32"/>
      <c r="B39" s="33"/>
      <c r="C39" s="3"/>
      <c r="D39" s="3"/>
      <c r="E39" s="3"/>
      <c r="F39" s="3"/>
      <c r="G39" s="3"/>
      <c r="H39" s="14"/>
      <c r="I39" s="99"/>
      <c r="J39" s="177"/>
      <c r="K39" s="99"/>
      <c r="L39" s="6"/>
      <c r="M39" s="27"/>
    </row>
    <row r="40" spans="1:13" ht="21" x14ac:dyDescent="0.2">
      <c r="A40" s="32">
        <v>982</v>
      </c>
      <c r="B40" s="33" t="s">
        <v>68</v>
      </c>
      <c r="C40" s="3" t="s">
        <v>60</v>
      </c>
      <c r="D40" s="3"/>
      <c r="E40" s="3"/>
      <c r="F40" s="3"/>
      <c r="G40" s="3"/>
      <c r="H40" s="14"/>
      <c r="I40" s="99">
        <v>1500</v>
      </c>
      <c r="J40" s="177">
        <v>3024</v>
      </c>
      <c r="K40" s="99">
        <f>I40*H40</f>
        <v>0</v>
      </c>
      <c r="L40" s="6"/>
      <c r="M40" s="27"/>
    </row>
    <row r="41" spans="1:13" ht="21" x14ac:dyDescent="0.2">
      <c r="A41" s="5"/>
      <c r="B41" s="33" t="s">
        <v>69</v>
      </c>
      <c r="C41" s="3"/>
      <c r="D41" s="3"/>
      <c r="E41" s="3"/>
      <c r="F41" s="3"/>
      <c r="G41" s="3"/>
      <c r="H41" s="14"/>
      <c r="I41" s="99"/>
      <c r="J41" s="177"/>
      <c r="K41" s="99">
        <f>I41*H41</f>
        <v>0</v>
      </c>
      <c r="L41" s="6"/>
      <c r="M41" s="27"/>
    </row>
    <row r="42" spans="1:13" ht="20.25" customHeight="1" x14ac:dyDescent="0.2">
      <c r="A42" s="5" t="s">
        <v>70</v>
      </c>
      <c r="B42" s="33" t="s">
        <v>71</v>
      </c>
      <c r="C42" s="14"/>
      <c r="D42" s="14"/>
      <c r="E42" s="14"/>
      <c r="F42" s="14"/>
      <c r="G42" s="14"/>
      <c r="H42" s="14"/>
      <c r="I42" s="99"/>
      <c r="J42" s="177"/>
      <c r="K42" s="99">
        <f>I42*H42</f>
        <v>0</v>
      </c>
      <c r="L42" s="6"/>
      <c r="M42" s="27"/>
    </row>
    <row r="43" spans="1:13" ht="63" x14ac:dyDescent="0.2">
      <c r="A43" s="5">
        <v>4.0999999999999996</v>
      </c>
      <c r="B43" s="33" t="s">
        <v>74</v>
      </c>
      <c r="C43" s="3"/>
      <c r="D43" s="3"/>
      <c r="E43" s="3"/>
      <c r="F43" s="3"/>
      <c r="G43" s="3"/>
      <c r="H43" s="14"/>
      <c r="I43" s="99"/>
      <c r="J43" s="177"/>
      <c r="K43" s="99">
        <f>I43*H43</f>
        <v>0</v>
      </c>
      <c r="L43" s="6"/>
      <c r="M43" s="27"/>
    </row>
    <row r="44" spans="1:13" ht="98.25" customHeight="1" x14ac:dyDescent="0.2">
      <c r="A44" s="5" t="s">
        <v>75</v>
      </c>
      <c r="B44" s="33" t="s">
        <v>76</v>
      </c>
      <c r="C44" s="3" t="s">
        <v>43</v>
      </c>
      <c r="D44" s="3"/>
      <c r="E44" s="3"/>
      <c r="F44" s="3"/>
      <c r="G44" s="3" t="s">
        <v>309</v>
      </c>
      <c r="H44" s="14">
        <f>SUM(H45:H49)</f>
        <v>106.13249999999999</v>
      </c>
      <c r="I44" s="99">
        <v>6833.4</v>
      </c>
      <c r="J44" s="177">
        <v>4811.3969399999996</v>
      </c>
      <c r="K44" s="354">
        <f>I44*H44</f>
        <v>725245.82549999992</v>
      </c>
      <c r="L44" s="6"/>
      <c r="M44" s="27"/>
    </row>
    <row r="45" spans="1:13" ht="21" x14ac:dyDescent="0.2">
      <c r="A45" s="5"/>
      <c r="B45" s="33" t="s">
        <v>332</v>
      </c>
      <c r="C45" s="3"/>
      <c r="D45" s="14">
        <f>D9</f>
        <v>30</v>
      </c>
      <c r="E45" s="14">
        <f>E9-0.6+0.2</f>
        <v>1.2</v>
      </c>
      <c r="F45" s="14">
        <f>F9-0.6+0.2</f>
        <v>1.2</v>
      </c>
      <c r="G45" s="14">
        <v>0.1</v>
      </c>
      <c r="H45" s="14">
        <f>PRODUCT(D45:G45)</f>
        <v>4.3199999999999994</v>
      </c>
      <c r="I45" s="99"/>
      <c r="J45" s="177"/>
      <c r="K45" s="99"/>
      <c r="L45" s="6"/>
      <c r="M45" s="27"/>
    </row>
    <row r="46" spans="1:13" ht="21" x14ac:dyDescent="0.2">
      <c r="A46" s="5"/>
      <c r="B46" s="33" t="s">
        <v>347</v>
      </c>
      <c r="C46" s="3"/>
      <c r="D46" s="3"/>
      <c r="E46" s="3">
        <v>75</v>
      </c>
      <c r="F46" s="3">
        <v>0.5</v>
      </c>
      <c r="G46" s="34">
        <v>7.4999999999999997E-2</v>
      </c>
      <c r="H46" s="14">
        <f>PRODUCT(D46:G46)</f>
        <v>2.8125</v>
      </c>
      <c r="I46" s="99"/>
      <c r="J46" s="177"/>
      <c r="K46" s="99"/>
      <c r="L46" s="6"/>
      <c r="M46" s="27"/>
    </row>
    <row r="47" spans="1:13" ht="21" x14ac:dyDescent="0.2">
      <c r="A47" s="5"/>
      <c r="B47" s="33"/>
      <c r="C47" s="3"/>
      <c r="D47" s="3">
        <f t="shared" ref="D47:F48" si="2">D36</f>
        <v>20</v>
      </c>
      <c r="E47" s="3">
        <f t="shared" si="2"/>
        <v>6</v>
      </c>
      <c r="F47" s="3">
        <f t="shared" si="2"/>
        <v>3</v>
      </c>
      <c r="G47" s="34">
        <v>7.4999999999999997E-2</v>
      </c>
      <c r="H47" s="14">
        <f>PRODUCT(D47:G47)</f>
        <v>27</v>
      </c>
      <c r="I47" s="99"/>
      <c r="J47" s="177"/>
      <c r="K47" s="99"/>
      <c r="L47" s="6"/>
      <c r="M47" s="27"/>
    </row>
    <row r="48" spans="1:13" ht="21" x14ac:dyDescent="0.2">
      <c r="A48" s="5"/>
      <c r="B48" s="33"/>
      <c r="C48" s="3"/>
      <c r="D48" s="3">
        <f t="shared" si="2"/>
        <v>100</v>
      </c>
      <c r="E48" s="3">
        <f t="shared" si="2"/>
        <v>3</v>
      </c>
      <c r="F48" s="3">
        <f t="shared" si="2"/>
        <v>2</v>
      </c>
      <c r="G48" s="34">
        <v>7.4999999999999997E-2</v>
      </c>
      <c r="H48" s="14">
        <f>PRODUCT(D48:G48)</f>
        <v>45</v>
      </c>
      <c r="I48" s="99"/>
      <c r="J48" s="177"/>
      <c r="K48" s="99"/>
      <c r="L48" s="6"/>
      <c r="M48" s="27"/>
    </row>
    <row r="49" spans="1:25" ht="21" x14ac:dyDescent="0.2">
      <c r="A49" s="5"/>
      <c r="B49" s="33"/>
      <c r="C49" s="3"/>
      <c r="D49" s="3"/>
      <c r="E49" s="3">
        <f>E38</f>
        <v>60</v>
      </c>
      <c r="F49" s="3">
        <f>F38</f>
        <v>6</v>
      </c>
      <c r="G49" s="34">
        <v>7.4999999999999997E-2</v>
      </c>
      <c r="H49" s="14">
        <f>PRODUCT(D49:G49)</f>
        <v>27</v>
      </c>
      <c r="I49" s="99"/>
      <c r="J49" s="177"/>
      <c r="K49" s="99"/>
      <c r="L49" s="6"/>
      <c r="M49" s="27"/>
    </row>
    <row r="50" spans="1:25" ht="21" x14ac:dyDescent="0.2">
      <c r="A50" s="5"/>
      <c r="B50" s="33"/>
      <c r="C50" s="3"/>
      <c r="D50" s="3"/>
      <c r="E50" s="3"/>
      <c r="F50" s="3"/>
      <c r="G50" s="34"/>
      <c r="H50" s="14"/>
      <c r="I50" s="99"/>
      <c r="J50" s="177"/>
      <c r="K50" s="99"/>
      <c r="L50" s="6"/>
      <c r="M50" s="27"/>
    </row>
    <row r="51" spans="1:25" ht="21" x14ac:dyDescent="0.2">
      <c r="A51" s="5"/>
      <c r="B51" s="33"/>
      <c r="C51" s="3"/>
      <c r="D51" s="3"/>
      <c r="E51" s="3"/>
      <c r="F51" s="3"/>
      <c r="G51" s="34"/>
      <c r="H51" s="14"/>
      <c r="I51" s="99"/>
      <c r="J51" s="177"/>
      <c r="K51" s="99"/>
      <c r="L51" s="6"/>
      <c r="M51" s="27"/>
    </row>
    <row r="52" spans="1:25" ht="23.25" x14ac:dyDescent="0.2">
      <c r="A52" s="139">
        <v>1034</v>
      </c>
      <c r="B52" s="140" t="s">
        <v>205</v>
      </c>
      <c r="C52" s="141" t="s">
        <v>206</v>
      </c>
      <c r="D52" s="141"/>
      <c r="E52" s="142"/>
      <c r="F52" s="3"/>
      <c r="G52" s="3">
        <v>1</v>
      </c>
      <c r="H52" s="14">
        <f>G52</f>
        <v>1</v>
      </c>
      <c r="I52" s="179">
        <v>5200</v>
      </c>
      <c r="J52" s="177"/>
      <c r="K52" s="99">
        <f>I52*H52</f>
        <v>5200</v>
      </c>
      <c r="L52" s="6"/>
      <c r="M52" s="27"/>
    </row>
    <row r="53" spans="1:25" ht="42" x14ac:dyDescent="0.35">
      <c r="A53" s="5" t="s">
        <v>78</v>
      </c>
      <c r="B53" s="33" t="s">
        <v>79</v>
      </c>
      <c r="C53" s="3" t="s">
        <v>73</v>
      </c>
      <c r="D53" s="3"/>
      <c r="E53" s="3"/>
      <c r="F53" s="3"/>
      <c r="G53" s="3"/>
      <c r="H53" s="14"/>
      <c r="I53" s="99">
        <v>120</v>
      </c>
      <c r="J53" s="177">
        <v>151.19999999999999</v>
      </c>
      <c r="K53" s="99">
        <f>I53*H53</f>
        <v>0</v>
      </c>
      <c r="L53" s="6"/>
      <c r="M53" s="27"/>
      <c r="S53" s="331"/>
      <c r="T53" s="331"/>
      <c r="U53" s="331"/>
      <c r="V53" s="331"/>
      <c r="W53" s="331"/>
      <c r="X53" s="331"/>
      <c r="Y53" s="331"/>
    </row>
    <row r="54" spans="1:25" ht="42" x14ac:dyDescent="0.35">
      <c r="A54" s="5">
        <v>5.9</v>
      </c>
      <c r="B54" s="33" t="s">
        <v>80</v>
      </c>
      <c r="C54" s="3"/>
      <c r="D54" s="3"/>
      <c r="E54" s="3"/>
      <c r="F54" s="3"/>
      <c r="G54" s="3"/>
      <c r="H54" s="14"/>
      <c r="I54" s="99"/>
      <c r="J54" s="177"/>
      <c r="K54" s="99">
        <f>I54*H54</f>
        <v>0</v>
      </c>
      <c r="L54" s="6"/>
      <c r="M54" s="27"/>
      <c r="S54" s="331"/>
      <c r="T54" s="331"/>
      <c r="U54" s="331"/>
      <c r="V54" s="331"/>
      <c r="W54" s="331"/>
      <c r="X54" s="331"/>
      <c r="Y54" s="331"/>
    </row>
    <row r="55" spans="1:25" ht="84" x14ac:dyDescent="0.35">
      <c r="A55" s="5" t="s">
        <v>81</v>
      </c>
      <c r="B55" s="33" t="s">
        <v>310</v>
      </c>
      <c r="C55" s="3" t="s">
        <v>73</v>
      </c>
      <c r="D55" s="3"/>
      <c r="E55" s="3"/>
      <c r="F55" s="3"/>
      <c r="G55" s="3" t="s">
        <v>309</v>
      </c>
      <c r="H55" s="14">
        <f>SUM(H56:H60)</f>
        <v>38.159999999999997</v>
      </c>
      <c r="I55" s="99">
        <v>307.95</v>
      </c>
      <c r="J55" s="177">
        <v>684.32649000000004</v>
      </c>
      <c r="K55" s="99">
        <f>I55*H55</f>
        <v>11751.371999999999</v>
      </c>
      <c r="L55" s="6"/>
      <c r="M55" s="27"/>
      <c r="S55" s="331"/>
      <c r="T55" s="331"/>
      <c r="U55" s="331"/>
      <c r="V55" s="331"/>
      <c r="W55" s="331"/>
      <c r="X55" s="331"/>
      <c r="Y55" s="331"/>
    </row>
    <row r="56" spans="1:25" ht="23.25" x14ac:dyDescent="0.35">
      <c r="A56" s="5"/>
      <c r="B56" s="3" t="str">
        <f>B68</f>
        <v xml:space="preserve">FOOTING </v>
      </c>
      <c r="C56" s="3"/>
      <c r="D56" s="14">
        <f>D45</f>
        <v>30</v>
      </c>
      <c r="E56" s="14">
        <f>E45-0.2</f>
        <v>1</v>
      </c>
      <c r="F56" s="14">
        <f>F45-0.2</f>
        <v>1</v>
      </c>
      <c r="G56" s="3">
        <f>G68</f>
        <v>0.3</v>
      </c>
      <c r="H56" s="14">
        <f>PRODUCT(D56:G56)</f>
        <v>9</v>
      </c>
      <c r="I56" s="99"/>
      <c r="J56" s="177"/>
      <c r="K56" s="99"/>
      <c r="L56" s="6"/>
      <c r="M56" s="27"/>
      <c r="S56" s="331"/>
      <c r="T56" s="331"/>
      <c r="U56" s="331"/>
      <c r="V56" s="331"/>
      <c r="W56" s="331"/>
      <c r="X56" s="331"/>
      <c r="Y56" s="331"/>
    </row>
    <row r="57" spans="1:25" ht="25.5" x14ac:dyDescent="0.35">
      <c r="A57" s="5"/>
      <c r="B57" s="3"/>
      <c r="C57" s="3"/>
      <c r="D57" s="3"/>
      <c r="E57" s="3"/>
      <c r="F57" s="3"/>
      <c r="G57" s="3"/>
      <c r="H57" s="14"/>
      <c r="I57" s="99"/>
      <c r="J57" s="177"/>
      <c r="K57" s="99"/>
      <c r="L57" s="6"/>
      <c r="M57" s="27"/>
      <c r="O57" s="329"/>
      <c r="S57" s="331"/>
      <c r="T57" s="331"/>
      <c r="U57" s="331"/>
      <c r="V57" s="331"/>
      <c r="W57" s="331"/>
      <c r="X57" s="331"/>
      <c r="Y57" s="331"/>
    </row>
    <row r="58" spans="1:25" ht="23.25" x14ac:dyDescent="0.35">
      <c r="A58" s="5"/>
      <c r="B58" s="3" t="str">
        <f>B73</f>
        <v xml:space="preserve"> FOOTING TOP TO NGL </v>
      </c>
      <c r="C58" s="3"/>
      <c r="D58" s="14">
        <f>D56</f>
        <v>30</v>
      </c>
      <c r="E58" s="3">
        <v>0.6</v>
      </c>
      <c r="F58" s="3">
        <v>0.6</v>
      </c>
      <c r="G58" s="3">
        <f>G73</f>
        <v>0.7</v>
      </c>
      <c r="H58" s="14">
        <f>PRODUCT(D58:G58)</f>
        <v>7.5599999999999987</v>
      </c>
      <c r="I58" s="99"/>
      <c r="J58" s="177"/>
      <c r="K58" s="99"/>
      <c r="L58" s="6"/>
      <c r="M58" s="27"/>
      <c r="S58" s="331"/>
      <c r="T58" s="331"/>
      <c r="U58" s="331"/>
      <c r="V58" s="331"/>
      <c r="W58" s="331"/>
      <c r="X58" s="331"/>
      <c r="Y58" s="331"/>
    </row>
    <row r="59" spans="1:25" ht="25.5" x14ac:dyDescent="0.35">
      <c r="A59" s="5"/>
      <c r="B59" s="3"/>
      <c r="C59" s="3"/>
      <c r="D59" s="3"/>
      <c r="E59" s="3"/>
      <c r="F59" s="3"/>
      <c r="G59" s="3"/>
      <c r="H59" s="14"/>
      <c r="I59" s="99"/>
      <c r="J59" s="177"/>
      <c r="K59" s="99"/>
      <c r="L59" s="6"/>
      <c r="M59" s="27"/>
      <c r="O59" s="330"/>
      <c r="P59" s="329"/>
    </row>
    <row r="60" spans="1:25" ht="25.5" x14ac:dyDescent="0.35">
      <c r="A60" s="5"/>
      <c r="B60" s="3" t="str">
        <f>B75</f>
        <v xml:space="preserve">NGL TO FFL </v>
      </c>
      <c r="C60" s="3"/>
      <c r="D60" s="14">
        <f>D58</f>
        <v>30</v>
      </c>
      <c r="E60" s="3">
        <f>E75+F75</f>
        <v>0.6</v>
      </c>
      <c r="F60" s="3">
        <v>2</v>
      </c>
      <c r="G60" s="3">
        <f>G75</f>
        <v>0.6</v>
      </c>
      <c r="H60" s="14">
        <f>PRODUCT(D60:G60)</f>
        <v>21.599999999999998</v>
      </c>
      <c r="I60" s="99"/>
      <c r="J60" s="177"/>
      <c r="K60" s="99"/>
      <c r="L60" s="6"/>
      <c r="M60" s="27"/>
      <c r="P60" s="329"/>
    </row>
    <row r="61" spans="1:25" ht="21" x14ac:dyDescent="0.2">
      <c r="A61" s="5"/>
      <c r="B61" s="33"/>
      <c r="C61" s="3"/>
      <c r="D61" s="3"/>
      <c r="E61" s="3"/>
      <c r="F61" s="3"/>
      <c r="G61" s="3"/>
      <c r="H61" s="14"/>
      <c r="I61" s="99"/>
      <c r="J61" s="177"/>
      <c r="K61" s="99"/>
      <c r="L61" s="6"/>
      <c r="M61" s="27"/>
    </row>
    <row r="62" spans="1:25" ht="147" x14ac:dyDescent="0.2">
      <c r="A62" s="5" t="s">
        <v>83</v>
      </c>
      <c r="B62" s="33" t="s">
        <v>84</v>
      </c>
      <c r="C62" s="3" t="s">
        <v>73</v>
      </c>
      <c r="D62" s="3"/>
      <c r="E62" s="3"/>
      <c r="F62" s="3"/>
      <c r="G62" s="3" t="s">
        <v>309</v>
      </c>
      <c r="H62" s="14">
        <f>SUM(H63:H63)</f>
        <v>60</v>
      </c>
      <c r="I62" s="99">
        <v>669.55</v>
      </c>
      <c r="J62" s="177">
        <v>806.40602000000001</v>
      </c>
      <c r="K62" s="99">
        <f>I62*H62</f>
        <v>40173</v>
      </c>
      <c r="L62" s="6"/>
      <c r="M62" s="27"/>
    </row>
    <row r="63" spans="1:25" ht="21" x14ac:dyDescent="0.2">
      <c r="A63" s="5"/>
      <c r="B63" s="3" t="str">
        <f>B70</f>
        <v xml:space="preserve">PLINTH BEAM </v>
      </c>
      <c r="C63" s="3"/>
      <c r="D63" s="3"/>
      <c r="E63" s="3">
        <f>E70</f>
        <v>75</v>
      </c>
      <c r="F63" s="3">
        <v>2</v>
      </c>
      <c r="G63" s="3">
        <f>G70</f>
        <v>0.4</v>
      </c>
      <c r="H63" s="14">
        <f>PRODUCT(D63:G63)</f>
        <v>60</v>
      </c>
      <c r="I63" s="99"/>
      <c r="J63" s="177"/>
      <c r="K63" s="99"/>
      <c r="L63" s="6"/>
      <c r="M63" s="27"/>
    </row>
    <row r="64" spans="1:25" ht="21" x14ac:dyDescent="0.2">
      <c r="A64" s="5"/>
      <c r="B64" s="33"/>
      <c r="C64" s="3"/>
      <c r="D64" s="3"/>
      <c r="E64" s="3"/>
      <c r="F64" s="3"/>
      <c r="G64" s="3"/>
      <c r="H64" s="14"/>
      <c r="I64" s="99"/>
      <c r="J64" s="177"/>
      <c r="K64" s="99">
        <f>I64*H64</f>
        <v>0</v>
      </c>
      <c r="L64" s="6"/>
      <c r="M64" s="27"/>
    </row>
    <row r="65" spans="1:13" ht="409.5" x14ac:dyDescent="0.2">
      <c r="A65" s="5">
        <v>5.33</v>
      </c>
      <c r="B65" s="33" t="s">
        <v>312</v>
      </c>
      <c r="C65" s="3"/>
      <c r="D65" s="3"/>
      <c r="E65" s="3"/>
      <c r="F65" s="3"/>
      <c r="G65" s="3"/>
      <c r="H65" s="14"/>
      <c r="I65" s="99"/>
      <c r="J65" s="177"/>
      <c r="K65" s="99">
        <f>I65*H65</f>
        <v>0</v>
      </c>
      <c r="L65" s="6"/>
      <c r="M65" s="27"/>
    </row>
    <row r="66" spans="1:13" ht="21" x14ac:dyDescent="0.2">
      <c r="A66" s="5" t="s">
        <v>100</v>
      </c>
      <c r="B66" s="33" t="s">
        <v>101</v>
      </c>
      <c r="C66" s="3"/>
      <c r="D66" s="3"/>
      <c r="E66" s="3"/>
      <c r="F66" s="3"/>
      <c r="G66" s="3"/>
      <c r="H66" s="14"/>
      <c r="I66" s="99"/>
      <c r="J66" s="177"/>
      <c r="K66" s="99">
        <f>I66*H66</f>
        <v>0</v>
      </c>
      <c r="L66" s="6"/>
      <c r="M66" s="27"/>
    </row>
    <row r="67" spans="1:13" ht="42" x14ac:dyDescent="0.2">
      <c r="A67" s="5" t="s">
        <v>102</v>
      </c>
      <c r="B67" s="33" t="s">
        <v>313</v>
      </c>
      <c r="C67" s="3" t="s">
        <v>43</v>
      </c>
      <c r="D67" s="3"/>
      <c r="E67" s="3"/>
      <c r="F67" s="3"/>
      <c r="G67" s="3" t="s">
        <v>309</v>
      </c>
      <c r="H67" s="14">
        <f>SUM(H68:H80)</f>
        <v>190.125</v>
      </c>
      <c r="I67" s="99">
        <v>7997.3</v>
      </c>
      <c r="J67" s="177">
        <v>6051.5569100000002</v>
      </c>
      <c r="K67" s="99">
        <f>I67*H67</f>
        <v>1520486.6625000001</v>
      </c>
      <c r="L67" s="6"/>
      <c r="M67" s="27"/>
    </row>
    <row r="68" spans="1:13" ht="21" x14ac:dyDescent="0.2">
      <c r="A68" s="5"/>
      <c r="B68" s="33" t="s">
        <v>333</v>
      </c>
      <c r="C68" s="3"/>
      <c r="D68" s="14">
        <f>D56</f>
        <v>30</v>
      </c>
      <c r="E68" s="3">
        <v>1</v>
      </c>
      <c r="F68" s="3">
        <v>1</v>
      </c>
      <c r="G68" s="3">
        <v>0.3</v>
      </c>
      <c r="H68" s="14">
        <f>PRODUCT(D68:G68)</f>
        <v>9</v>
      </c>
      <c r="I68" s="99"/>
      <c r="J68" s="177"/>
      <c r="K68" s="99"/>
      <c r="L68" s="6"/>
      <c r="M68" s="27"/>
    </row>
    <row r="69" spans="1:13" ht="21" x14ac:dyDescent="0.2">
      <c r="A69" s="5"/>
      <c r="B69" s="33"/>
      <c r="C69" s="3"/>
      <c r="D69" s="3"/>
      <c r="E69" s="3"/>
      <c r="F69" s="3"/>
      <c r="G69" s="3"/>
      <c r="H69" s="14">
        <f>PRODUCT(D69:G69)</f>
        <v>0</v>
      </c>
      <c r="I69" s="99"/>
      <c r="J69" s="177"/>
      <c r="K69" s="99"/>
      <c r="L69" s="6"/>
      <c r="M69" s="27"/>
    </row>
    <row r="70" spans="1:13" ht="21" x14ac:dyDescent="0.2">
      <c r="A70" s="5"/>
      <c r="B70" s="33" t="s">
        <v>347</v>
      </c>
      <c r="C70" s="3"/>
      <c r="D70" s="3"/>
      <c r="E70" s="3">
        <v>75</v>
      </c>
      <c r="F70" s="3">
        <v>0.3</v>
      </c>
      <c r="G70" s="3">
        <v>0.4</v>
      </c>
      <c r="H70" s="14">
        <f>PRODUCT(D70:G70)</f>
        <v>9</v>
      </c>
      <c r="I70" s="99"/>
      <c r="J70" s="177"/>
      <c r="K70" s="99"/>
      <c r="L70" s="6"/>
      <c r="M70" s="27"/>
    </row>
    <row r="71" spans="1:13" ht="21" customHeight="1" x14ac:dyDescent="0.2">
      <c r="A71" s="5"/>
      <c r="B71" s="33"/>
      <c r="C71" s="3"/>
      <c r="D71" s="3"/>
      <c r="E71" s="3"/>
      <c r="F71" s="3"/>
      <c r="G71" s="3"/>
      <c r="H71" s="14"/>
      <c r="I71" s="99"/>
      <c r="J71" s="177"/>
      <c r="K71" s="99"/>
      <c r="L71" s="6"/>
      <c r="M71" s="27"/>
    </row>
    <row r="72" spans="1:13" ht="21" x14ac:dyDescent="0.2">
      <c r="A72" s="5"/>
      <c r="B72" s="33" t="s">
        <v>348</v>
      </c>
      <c r="C72" s="3"/>
      <c r="D72" s="3"/>
      <c r="E72" s="3"/>
      <c r="F72" s="3"/>
      <c r="G72" s="3"/>
      <c r="H72" s="14"/>
      <c r="I72" s="99"/>
      <c r="J72" s="177"/>
      <c r="K72" s="99"/>
      <c r="L72" s="6"/>
      <c r="M72" s="27"/>
    </row>
    <row r="73" spans="1:13" ht="21" x14ac:dyDescent="0.2">
      <c r="A73" s="5"/>
      <c r="B73" s="33" t="s">
        <v>349</v>
      </c>
      <c r="C73" s="3"/>
      <c r="D73" s="3">
        <v>25</v>
      </c>
      <c r="E73" s="3">
        <v>0.3</v>
      </c>
      <c r="F73" s="3">
        <v>0.3</v>
      </c>
      <c r="G73" s="3">
        <f>0.7</f>
        <v>0.7</v>
      </c>
      <c r="H73" s="14">
        <f>PRODUCT(D73:G73)</f>
        <v>1.575</v>
      </c>
      <c r="I73" s="99"/>
      <c r="J73" s="177"/>
      <c r="K73" s="99"/>
      <c r="L73" s="6"/>
      <c r="M73" s="27"/>
    </row>
    <row r="74" spans="1:13" ht="21" x14ac:dyDescent="0.2">
      <c r="A74" s="5"/>
      <c r="B74" s="33"/>
      <c r="C74" s="3"/>
      <c r="D74" s="3"/>
      <c r="E74" s="3"/>
      <c r="F74" s="3"/>
      <c r="G74" s="3"/>
      <c r="H74" s="14"/>
      <c r="I74" s="99"/>
      <c r="J74" s="177"/>
      <c r="K74" s="99"/>
      <c r="L74" s="6"/>
      <c r="M74" s="27"/>
    </row>
    <row r="75" spans="1:13" ht="21" x14ac:dyDescent="0.2">
      <c r="A75" s="5"/>
      <c r="B75" s="33" t="s">
        <v>350</v>
      </c>
      <c r="C75" s="3"/>
      <c r="D75" s="3">
        <v>25</v>
      </c>
      <c r="E75" s="3">
        <v>0.3</v>
      </c>
      <c r="F75" s="3">
        <v>0.3</v>
      </c>
      <c r="G75" s="3">
        <v>0.6</v>
      </c>
      <c r="H75" s="14">
        <f>PRODUCT(D75:G75)</f>
        <v>1.3499999999999999</v>
      </c>
      <c r="I75" s="99"/>
      <c r="J75" s="177"/>
      <c r="K75" s="99"/>
      <c r="L75" s="6"/>
      <c r="M75" s="27"/>
    </row>
    <row r="76" spans="1:13" ht="21" x14ac:dyDescent="0.2">
      <c r="A76" s="5"/>
      <c r="B76" s="33"/>
      <c r="C76" s="3"/>
      <c r="D76" s="3"/>
      <c r="E76" s="3"/>
      <c r="F76" s="3"/>
      <c r="G76" s="3"/>
      <c r="H76" s="14">
        <f>PRODUCT(D76:G76)</f>
        <v>0</v>
      </c>
      <c r="I76" s="99"/>
      <c r="J76" s="177"/>
      <c r="K76" s="99"/>
      <c r="L76" s="6"/>
      <c r="M76" s="27"/>
    </row>
    <row r="77" spans="1:13" ht="21" x14ac:dyDescent="0.2">
      <c r="A77" s="5"/>
      <c r="B77" s="33" t="str">
        <f>B26</f>
        <v xml:space="preserve">for car </v>
      </c>
      <c r="C77" s="3"/>
      <c r="D77" s="33">
        <f t="shared" ref="D77:F78" si="3">D26</f>
        <v>20</v>
      </c>
      <c r="E77" s="33">
        <f t="shared" si="3"/>
        <v>6</v>
      </c>
      <c r="F77" s="33">
        <f t="shared" si="3"/>
        <v>3</v>
      </c>
      <c r="G77" s="3">
        <v>0.12</v>
      </c>
      <c r="H77" s="14">
        <f>PRODUCT(D77:G77)</f>
        <v>43.199999999999996</v>
      </c>
      <c r="I77" s="99"/>
      <c r="J77" s="177"/>
      <c r="K77" s="99">
        <v>60</v>
      </c>
      <c r="L77" s="6"/>
      <c r="M77" s="27"/>
    </row>
    <row r="78" spans="1:13" ht="21" x14ac:dyDescent="0.2">
      <c r="A78" s="5"/>
      <c r="B78" s="33" t="str">
        <f>B27</f>
        <v xml:space="preserve">for bike </v>
      </c>
      <c r="C78" s="3"/>
      <c r="D78" s="33">
        <f t="shared" si="3"/>
        <v>100</v>
      </c>
      <c r="E78" s="33">
        <f t="shared" si="3"/>
        <v>3</v>
      </c>
      <c r="F78" s="33">
        <f t="shared" si="3"/>
        <v>2</v>
      </c>
      <c r="G78" s="3">
        <v>0.12</v>
      </c>
      <c r="H78" s="14">
        <f>PRODUCT(D78:G78)</f>
        <v>72</v>
      </c>
      <c r="I78" s="99"/>
      <c r="J78" s="177"/>
      <c r="K78" s="99"/>
      <c r="L78" s="6"/>
      <c r="M78" s="27"/>
    </row>
    <row r="79" spans="1:13" ht="21" x14ac:dyDescent="0.2">
      <c r="A79" s="5"/>
      <c r="B79" s="33" t="str">
        <f>B28</f>
        <v xml:space="preserve">ROAD </v>
      </c>
      <c r="C79" s="3"/>
      <c r="D79" s="33">
        <v>1</v>
      </c>
      <c r="E79" s="33">
        <f>E28</f>
        <v>60</v>
      </c>
      <c r="F79" s="33">
        <f>F28</f>
        <v>6</v>
      </c>
      <c r="G79" s="3">
        <v>0.15</v>
      </c>
      <c r="H79" s="14">
        <f>PRODUCT(D79:G79)</f>
        <v>54</v>
      </c>
      <c r="I79" s="99"/>
      <c r="J79" s="177"/>
      <c r="K79" s="99"/>
      <c r="L79" s="6"/>
      <c r="M79" s="27"/>
    </row>
    <row r="80" spans="1:13" ht="21" x14ac:dyDescent="0.2">
      <c r="A80" s="5"/>
      <c r="B80" s="33"/>
      <c r="C80" s="3"/>
      <c r="D80" s="3"/>
      <c r="E80" s="3"/>
      <c r="F80" s="3"/>
      <c r="G80" s="3"/>
      <c r="H80" s="14"/>
      <c r="I80" s="99"/>
      <c r="J80" s="177"/>
      <c r="K80" s="99"/>
      <c r="L80" s="6"/>
      <c r="M80" s="27"/>
    </row>
    <row r="81" spans="1:13" ht="105" x14ac:dyDescent="0.2">
      <c r="A81" s="5">
        <v>5.22</v>
      </c>
      <c r="B81" s="33" t="s">
        <v>316</v>
      </c>
      <c r="C81" s="8"/>
      <c r="D81" s="8"/>
      <c r="E81" s="8"/>
      <c r="F81" s="8"/>
      <c r="G81" s="8"/>
      <c r="H81" s="14"/>
      <c r="I81" s="99"/>
      <c r="J81" s="177">
        <v>0</v>
      </c>
      <c r="K81" s="99">
        <f>I81*H81</f>
        <v>0</v>
      </c>
      <c r="L81" s="6"/>
      <c r="M81" s="27"/>
    </row>
    <row r="82" spans="1:13" ht="42" x14ac:dyDescent="0.2">
      <c r="A82" s="5" t="s">
        <v>110</v>
      </c>
      <c r="B82" s="33" t="s">
        <v>111</v>
      </c>
      <c r="C82" s="3" t="s">
        <v>112</v>
      </c>
      <c r="D82" s="3"/>
      <c r="E82" s="3"/>
      <c r="F82" s="3"/>
      <c r="G82" s="3" t="s">
        <v>309</v>
      </c>
      <c r="H82" s="35">
        <f>SUM(H83)</f>
        <v>11407.5</v>
      </c>
      <c r="I82" s="99">
        <v>89.65</v>
      </c>
      <c r="J82" s="177">
        <v>90.716835000000003</v>
      </c>
      <c r="K82" s="99">
        <f>I82*H82</f>
        <v>1022682.3750000001</v>
      </c>
      <c r="L82" s="6"/>
      <c r="M82" s="27"/>
    </row>
    <row r="83" spans="1:13" ht="21" x14ac:dyDescent="0.2">
      <c r="A83" s="5"/>
      <c r="B83" s="33"/>
      <c r="C83" s="3"/>
      <c r="D83" s="3">
        <v>60</v>
      </c>
      <c r="E83" s="3"/>
      <c r="F83" s="6"/>
      <c r="G83" s="14">
        <f>H67</f>
        <v>190.125</v>
      </c>
      <c r="H83" s="14">
        <f>PRODUCT(D83:G83)</f>
        <v>11407.5</v>
      </c>
      <c r="I83" s="99"/>
      <c r="J83" s="177"/>
      <c r="K83" s="99"/>
      <c r="L83" s="6"/>
      <c r="M83" s="27"/>
    </row>
    <row r="84" spans="1:13" ht="21" x14ac:dyDescent="0.2">
      <c r="A84" s="5"/>
      <c r="B84" s="33"/>
      <c r="C84" s="3"/>
      <c r="D84" s="3"/>
      <c r="E84" s="3"/>
      <c r="F84" s="3"/>
      <c r="G84" s="3"/>
      <c r="H84" s="14"/>
      <c r="I84" s="99"/>
      <c r="J84" s="177"/>
      <c r="K84" s="99"/>
      <c r="L84" s="6"/>
      <c r="M84" s="27"/>
    </row>
    <row r="85" spans="1:13" ht="182.25" x14ac:dyDescent="0.2">
      <c r="A85" s="70" t="s">
        <v>207</v>
      </c>
      <c r="B85" s="15" t="s">
        <v>209</v>
      </c>
      <c r="C85" s="3"/>
      <c r="D85" s="3"/>
      <c r="E85" s="3"/>
      <c r="F85" s="3"/>
      <c r="G85" s="3"/>
      <c r="H85" s="8"/>
      <c r="I85" s="99"/>
      <c r="J85" s="177"/>
      <c r="K85" s="99">
        <f>I85*H85</f>
        <v>0</v>
      </c>
      <c r="L85" s="6"/>
      <c r="M85" s="27"/>
    </row>
    <row r="86" spans="1:13" ht="21" x14ac:dyDescent="0.2">
      <c r="A86" s="71">
        <v>5774</v>
      </c>
      <c r="B86" s="33" t="s">
        <v>210</v>
      </c>
      <c r="C86" s="3" t="s">
        <v>211</v>
      </c>
      <c r="D86" s="3"/>
      <c r="E86" s="3"/>
      <c r="F86" s="3"/>
      <c r="G86" s="3"/>
      <c r="H86" s="8">
        <v>100</v>
      </c>
      <c r="I86" s="99">
        <v>20</v>
      </c>
      <c r="J86" s="177">
        <v>28</v>
      </c>
      <c r="K86" s="99">
        <f>I86*H86</f>
        <v>2000</v>
      </c>
      <c r="L86" s="6"/>
      <c r="M86" s="27"/>
    </row>
    <row r="87" spans="1:13" ht="21" x14ac:dyDescent="0.2">
      <c r="A87" s="71"/>
      <c r="B87" s="33"/>
      <c r="C87" s="3"/>
      <c r="D87" s="3"/>
      <c r="E87" s="3"/>
      <c r="F87" s="3"/>
      <c r="G87" s="3"/>
      <c r="H87" s="8"/>
      <c r="I87" s="99"/>
      <c r="J87" s="177"/>
      <c r="K87" s="99">
        <f>I87*H87</f>
        <v>0</v>
      </c>
      <c r="L87" s="6"/>
      <c r="M87" s="27"/>
    </row>
    <row r="88" spans="1:13" customFormat="1" ht="147" x14ac:dyDescent="0.2">
      <c r="A88" s="137">
        <v>10.25</v>
      </c>
      <c r="B88" s="41" t="s">
        <v>351</v>
      </c>
      <c r="C88" s="12"/>
      <c r="D88" s="12"/>
      <c r="E88" s="12"/>
      <c r="F88" s="12"/>
      <c r="G88" s="12"/>
      <c r="H88" s="138"/>
      <c r="I88" s="40"/>
      <c r="J88" s="40"/>
      <c r="K88" s="40">
        <f>I88*H88</f>
        <v>0</v>
      </c>
      <c r="L88" s="9"/>
      <c r="M88" s="42"/>
    </row>
    <row r="89" spans="1:13" customFormat="1" ht="42" x14ac:dyDescent="0.2">
      <c r="A89" s="137" t="s">
        <v>233</v>
      </c>
      <c r="B89" s="41" t="s">
        <v>234</v>
      </c>
      <c r="C89" s="12" t="s">
        <v>211</v>
      </c>
      <c r="D89" s="12"/>
      <c r="E89" s="12"/>
      <c r="F89" s="12"/>
      <c r="G89" s="12"/>
      <c r="H89" s="138">
        <f>(H90+H91)*15</f>
        <v>10350</v>
      </c>
      <c r="I89" s="40">
        <v>142.30000000000001</v>
      </c>
      <c r="J89" s="40">
        <v>180.32256000000001</v>
      </c>
      <c r="K89" s="40">
        <f>I89*H89</f>
        <v>1472805.0000000002</v>
      </c>
      <c r="L89" s="9"/>
      <c r="M89" s="42"/>
    </row>
    <row r="90" spans="1:13" customFormat="1" ht="21" x14ac:dyDescent="0.2">
      <c r="A90" s="137"/>
      <c r="B90" s="41"/>
      <c r="C90" s="12"/>
      <c r="D90" s="12">
        <v>1</v>
      </c>
      <c r="E90" s="12">
        <v>75</v>
      </c>
      <c r="F90" s="12">
        <v>8</v>
      </c>
      <c r="G90" s="12"/>
      <c r="H90" s="138">
        <f>PRODUCT(D90:F90)</f>
        <v>600</v>
      </c>
      <c r="I90" s="40"/>
      <c r="J90" s="40"/>
      <c r="K90" s="40"/>
      <c r="L90" s="9"/>
      <c r="M90" s="42"/>
    </row>
    <row r="91" spans="1:13" customFormat="1" ht="21" x14ac:dyDescent="0.2">
      <c r="A91" s="137"/>
      <c r="B91" s="41"/>
      <c r="C91" s="12"/>
      <c r="D91" s="12"/>
      <c r="E91" s="12">
        <v>15</v>
      </c>
      <c r="F91" s="12">
        <v>6</v>
      </c>
      <c r="G91" s="12"/>
      <c r="H91" s="138">
        <f>PRODUCT(D91:F91)</f>
        <v>90</v>
      </c>
      <c r="I91" s="40"/>
      <c r="J91" s="40"/>
      <c r="K91" s="40"/>
      <c r="L91" s="9"/>
      <c r="M91" s="42"/>
    </row>
    <row r="92" spans="1:13" ht="168" x14ac:dyDescent="0.2">
      <c r="A92" s="70" t="s">
        <v>70</v>
      </c>
      <c r="B92" s="33" t="s">
        <v>212</v>
      </c>
      <c r="C92" s="1"/>
      <c r="D92" s="1"/>
      <c r="E92" s="1"/>
      <c r="F92" s="1"/>
      <c r="G92" s="1"/>
      <c r="H92" s="14"/>
      <c r="I92" s="99"/>
      <c r="J92" s="177"/>
      <c r="K92" s="99">
        <f>I92*H92</f>
        <v>0</v>
      </c>
      <c r="L92" s="6"/>
      <c r="M92" s="27"/>
    </row>
    <row r="93" spans="1:13" ht="21" x14ac:dyDescent="0.2">
      <c r="A93" s="70"/>
      <c r="B93" s="33" t="s">
        <v>213</v>
      </c>
      <c r="C93" s="1" t="s">
        <v>147</v>
      </c>
      <c r="D93" s="1"/>
      <c r="E93" s="1">
        <f>75+15</f>
        <v>90</v>
      </c>
      <c r="F93" s="1"/>
      <c r="G93" s="1"/>
      <c r="H93" s="14">
        <f>PRODUCT(D93:G93)</f>
        <v>90</v>
      </c>
      <c r="I93" s="99">
        <v>320</v>
      </c>
      <c r="J93" s="177">
        <v>557.76</v>
      </c>
      <c r="K93" s="99">
        <f>I93*H93</f>
        <v>28800</v>
      </c>
      <c r="L93" s="6"/>
      <c r="M93" s="27"/>
    </row>
    <row r="94" spans="1:13" ht="21" x14ac:dyDescent="0.2">
      <c r="A94" s="70"/>
      <c r="B94" s="33" t="s">
        <v>214</v>
      </c>
      <c r="C94" s="1" t="s">
        <v>147</v>
      </c>
      <c r="D94" s="1"/>
      <c r="E94" s="1"/>
      <c r="F94" s="1"/>
      <c r="G94" s="1"/>
      <c r="H94" s="14"/>
      <c r="I94" s="99">
        <v>284</v>
      </c>
      <c r="J94" s="177">
        <v>557.74760000000003</v>
      </c>
      <c r="K94" s="99">
        <f>I94*H94</f>
        <v>0</v>
      </c>
      <c r="L94" s="6"/>
      <c r="M94" s="27"/>
    </row>
    <row r="95" spans="1:13" ht="21" x14ac:dyDescent="0.2">
      <c r="A95" s="70"/>
      <c r="B95" s="33" t="s">
        <v>215</v>
      </c>
      <c r="C95" s="1" t="s">
        <v>147</v>
      </c>
      <c r="D95" s="1">
        <v>2</v>
      </c>
      <c r="E95" s="1">
        <v>90</v>
      </c>
      <c r="F95" s="1"/>
      <c r="G95" s="1"/>
      <c r="H95" s="14">
        <f>PRODUCT(D95:G95)</f>
        <v>180</v>
      </c>
      <c r="I95" s="99">
        <v>781</v>
      </c>
      <c r="J95" s="177">
        <v>798.57249999999999</v>
      </c>
      <c r="K95" s="99">
        <f>I95*H95</f>
        <v>140580</v>
      </c>
      <c r="L95" s="6"/>
      <c r="M95" s="27"/>
    </row>
    <row r="96" spans="1:13" ht="81" x14ac:dyDescent="0.2">
      <c r="A96" s="70" t="s">
        <v>70</v>
      </c>
      <c r="B96" s="11" t="s">
        <v>352</v>
      </c>
      <c r="C96" s="12" t="s">
        <v>201</v>
      </c>
      <c r="D96" s="12"/>
      <c r="E96" s="12"/>
      <c r="F96" s="12"/>
      <c r="G96" s="12" t="s">
        <v>309</v>
      </c>
      <c r="H96" s="14">
        <f>SUM(H97:H98)</f>
        <v>690</v>
      </c>
      <c r="I96" s="99">
        <v>680</v>
      </c>
      <c r="J96" s="177">
        <f>I96</f>
        <v>680</v>
      </c>
      <c r="K96" s="99">
        <f>I96*H96</f>
        <v>469200</v>
      </c>
      <c r="L96" s="6"/>
      <c r="M96" s="27"/>
    </row>
    <row r="97" spans="1:13" ht="21" x14ac:dyDescent="0.2">
      <c r="A97" s="70"/>
      <c r="B97" s="11"/>
      <c r="C97" s="12"/>
      <c r="D97" s="12">
        <v>1</v>
      </c>
      <c r="E97" s="12">
        <v>75</v>
      </c>
      <c r="F97" s="12">
        <v>8</v>
      </c>
      <c r="G97" s="12"/>
      <c r="H97" s="14">
        <f>PRODUCT(D97:G97)</f>
        <v>600</v>
      </c>
      <c r="I97" s="99"/>
      <c r="J97" s="177"/>
      <c r="K97" s="99"/>
      <c r="L97" s="6"/>
      <c r="M97" s="27"/>
    </row>
    <row r="98" spans="1:13" ht="21" x14ac:dyDescent="0.2">
      <c r="A98" s="70"/>
      <c r="B98" s="11"/>
      <c r="C98" s="12"/>
      <c r="D98" s="12"/>
      <c r="E98" s="12">
        <v>15</v>
      </c>
      <c r="F98" s="12">
        <v>6</v>
      </c>
      <c r="G98" s="12"/>
      <c r="H98" s="14">
        <f>PRODUCT(D98:G98)</f>
        <v>90</v>
      </c>
      <c r="I98" s="99"/>
      <c r="J98" s="177"/>
      <c r="K98" s="99"/>
      <c r="L98" s="6"/>
      <c r="M98" s="27"/>
    </row>
    <row r="99" spans="1:13" ht="384.75" x14ac:dyDescent="0.2">
      <c r="A99" s="80">
        <v>16.91</v>
      </c>
      <c r="B99" s="81" t="s">
        <v>237</v>
      </c>
      <c r="C99" s="3" t="s">
        <v>199</v>
      </c>
      <c r="D99" s="3"/>
      <c r="E99" s="3"/>
      <c r="F99" s="3"/>
      <c r="G99" s="3"/>
      <c r="H99" s="14"/>
      <c r="I99" s="99"/>
      <c r="J99" s="177"/>
      <c r="K99" s="99">
        <f>I99*H99</f>
        <v>0</v>
      </c>
      <c r="L99" s="6"/>
      <c r="M99" s="27"/>
    </row>
    <row r="100" spans="1:13" ht="40.5" x14ac:dyDescent="0.2">
      <c r="A100" s="80" t="s">
        <v>238</v>
      </c>
      <c r="B100" s="81" t="s">
        <v>239</v>
      </c>
      <c r="C100" s="3" t="s">
        <v>325</v>
      </c>
      <c r="D100" s="3"/>
      <c r="E100" s="3"/>
      <c r="F100" s="3"/>
      <c r="G100" s="3"/>
      <c r="H100" s="14"/>
      <c r="I100" s="100">
        <v>932.35</v>
      </c>
      <c r="J100" s="177"/>
      <c r="K100" s="100"/>
      <c r="L100" s="6"/>
      <c r="M100" s="27"/>
    </row>
    <row r="101" spans="1:13" ht="60.75" x14ac:dyDescent="0.2">
      <c r="A101" s="80" t="s">
        <v>240</v>
      </c>
      <c r="B101" s="81" t="s">
        <v>241</v>
      </c>
      <c r="C101" s="3"/>
      <c r="D101" s="3"/>
      <c r="E101" s="3"/>
      <c r="F101" s="3"/>
      <c r="G101" s="3"/>
      <c r="H101" s="14">
        <f>SUM(H102:H103)</f>
        <v>668</v>
      </c>
      <c r="I101" s="100">
        <v>1011.2</v>
      </c>
      <c r="J101" s="177"/>
      <c r="K101" s="99">
        <f>I101*H101</f>
        <v>675481.59999999998</v>
      </c>
      <c r="L101" s="6"/>
      <c r="M101" s="27"/>
    </row>
    <row r="102" spans="1:13" ht="20.25" x14ac:dyDescent="0.2">
      <c r="A102" s="80"/>
      <c r="B102" s="81"/>
      <c r="C102" s="3"/>
      <c r="D102" s="3">
        <v>1</v>
      </c>
      <c r="E102" s="3">
        <f>348+320</f>
        <v>668</v>
      </c>
      <c r="F102" s="3"/>
      <c r="G102" s="3"/>
      <c r="H102" s="14">
        <f>PRODUCT(D102:G102)</f>
        <v>668</v>
      </c>
      <c r="I102" s="100"/>
      <c r="J102" s="177"/>
      <c r="K102" s="100"/>
      <c r="L102" s="6"/>
      <c r="M102" s="27"/>
    </row>
    <row r="103" spans="1:13" ht="20.25" x14ac:dyDescent="0.2">
      <c r="A103" s="80"/>
      <c r="B103" s="81"/>
      <c r="C103" s="3"/>
      <c r="D103" s="3"/>
      <c r="E103" s="3"/>
      <c r="F103" s="3"/>
      <c r="G103" s="3"/>
      <c r="H103" s="14"/>
      <c r="I103" s="100"/>
      <c r="J103" s="177"/>
      <c r="K103" s="100"/>
      <c r="L103" s="6"/>
      <c r="M103" s="27"/>
    </row>
    <row r="104" spans="1:13" ht="20.25" x14ac:dyDescent="0.2">
      <c r="A104" s="80"/>
      <c r="B104" s="81"/>
      <c r="C104" s="3"/>
      <c r="D104" s="3"/>
      <c r="E104" s="3"/>
      <c r="F104" s="3"/>
      <c r="G104" s="3"/>
      <c r="H104" s="14"/>
      <c r="I104" s="100"/>
      <c r="J104" s="177"/>
      <c r="K104" s="100"/>
      <c r="L104" s="6"/>
      <c r="M104" s="27"/>
    </row>
    <row r="105" spans="1:13" ht="20.25" x14ac:dyDescent="0.2">
      <c r="A105" s="80"/>
      <c r="B105" s="81"/>
      <c r="C105" s="3"/>
      <c r="D105" s="3"/>
      <c r="E105" s="3"/>
      <c r="F105" s="3"/>
      <c r="G105" s="3"/>
      <c r="H105" s="14"/>
      <c r="I105" s="100"/>
      <c r="J105" s="177"/>
      <c r="K105" s="100"/>
      <c r="L105" s="6"/>
      <c r="M105" s="27"/>
    </row>
    <row r="106" spans="1:13" ht="20.25" x14ac:dyDescent="0.2">
      <c r="A106" s="80"/>
      <c r="B106" s="81"/>
      <c r="C106" s="3"/>
      <c r="D106" s="3"/>
      <c r="E106" s="3"/>
      <c r="F106" s="3"/>
      <c r="G106" s="3"/>
      <c r="H106" s="14"/>
      <c r="I106" s="100"/>
      <c r="J106" s="177"/>
      <c r="K106" s="100"/>
      <c r="L106" s="6"/>
      <c r="M106" s="27"/>
    </row>
    <row r="107" spans="1:13" ht="20.25" x14ac:dyDescent="0.2">
      <c r="A107" s="80"/>
      <c r="B107" s="81"/>
      <c r="C107" s="3"/>
      <c r="D107" s="3"/>
      <c r="E107" s="3"/>
      <c r="F107" s="3"/>
      <c r="G107" s="3"/>
      <c r="H107" s="14"/>
      <c r="I107" s="100"/>
      <c r="J107" s="177"/>
      <c r="K107" s="100"/>
      <c r="L107" s="6"/>
      <c r="M107" s="27"/>
    </row>
    <row r="108" spans="1:13" ht="20.25" x14ac:dyDescent="0.2">
      <c r="A108" s="80"/>
      <c r="B108" s="81"/>
      <c r="C108" s="3"/>
      <c r="D108" s="3"/>
      <c r="E108" s="3"/>
      <c r="F108" s="3"/>
      <c r="G108" s="3"/>
      <c r="H108" s="14"/>
      <c r="I108" s="100"/>
      <c r="J108" s="177"/>
      <c r="K108" s="100"/>
      <c r="L108" s="6"/>
      <c r="M108" s="27"/>
    </row>
    <row r="109" spans="1:13" ht="21" x14ac:dyDescent="0.2">
      <c r="A109" s="72"/>
      <c r="B109" s="33"/>
      <c r="C109" s="3"/>
      <c r="D109" s="3"/>
      <c r="E109" s="3"/>
      <c r="F109" s="3"/>
      <c r="G109" s="3"/>
      <c r="H109" s="14"/>
      <c r="I109" s="99"/>
      <c r="J109" s="177"/>
      <c r="K109" s="99"/>
      <c r="L109" s="6"/>
      <c r="M109" s="27"/>
    </row>
    <row r="110" spans="1:13" ht="20.25" x14ac:dyDescent="0.3">
      <c r="A110" s="557"/>
      <c r="B110" s="557"/>
      <c r="C110" s="557"/>
      <c r="D110" s="557"/>
      <c r="E110" s="557"/>
      <c r="F110" s="557"/>
      <c r="G110" s="557"/>
      <c r="H110" s="557"/>
      <c r="I110" s="557"/>
      <c r="J110" s="180"/>
      <c r="K110" s="99">
        <f>SUM(K7:K109)</f>
        <v>6627417.0853749998</v>
      </c>
      <c r="L110" s="48"/>
      <c r="M110" s="27"/>
    </row>
    <row r="111" spans="1:13" ht="20.25" x14ac:dyDescent="0.2">
      <c r="A111" s="50"/>
      <c r="B111" s="51"/>
      <c r="C111" s="50"/>
      <c r="D111" s="50"/>
      <c r="E111" s="50"/>
      <c r="F111" s="50"/>
      <c r="G111" s="50"/>
      <c r="H111" s="52"/>
      <c r="I111" s="171"/>
      <c r="J111" s="181"/>
      <c r="K111" s="165"/>
      <c r="L111" s="6"/>
      <c r="M111" s="53"/>
    </row>
    <row r="112" spans="1:13" x14ac:dyDescent="0.2">
      <c r="M112" s="57"/>
    </row>
    <row r="113" spans="13:13" x14ac:dyDescent="0.2">
      <c r="M113" s="57"/>
    </row>
    <row r="114" spans="13:13" x14ac:dyDescent="0.2">
      <c r="M114" s="57"/>
    </row>
    <row r="115" spans="13:13" x14ac:dyDescent="0.2">
      <c r="M115" s="57"/>
    </row>
    <row r="116" spans="13:13" x14ac:dyDescent="0.2">
      <c r="M116" s="57"/>
    </row>
    <row r="117" spans="13:13" x14ac:dyDescent="0.2">
      <c r="M117" s="57"/>
    </row>
    <row r="118" spans="13:13" x14ac:dyDescent="0.2">
      <c r="M118" s="57"/>
    </row>
  </sheetData>
  <protectedRanges>
    <protectedRange sqref="K100 K102:K108" name="Range1_3"/>
    <protectedRange sqref="I100:I108" name="Range1_3_2"/>
    <protectedRange sqref="M2" name="Range1"/>
  </protectedRanges>
  <mergeCells count="6">
    <mergeCell ref="A110:I110"/>
    <mergeCell ref="A1:M1"/>
    <mergeCell ref="B2:K2"/>
    <mergeCell ref="L2:M2"/>
    <mergeCell ref="A3:M3"/>
    <mergeCell ref="A4:M4"/>
  </mergeCells>
  <phoneticPr fontId="1" type="noConversion"/>
  <conditionalFormatting sqref="A99:A108">
    <cfRule type="cellIs" dxfId="88" priority="4" stopIfTrue="1" operator="equal">
      <formula>#REF!</formula>
    </cfRule>
  </conditionalFormatting>
  <conditionalFormatting sqref="A99:B108 C92:G95 I100:I108 K102:K108">
    <cfRule type="cellIs" dxfId="87" priority="8" stopIfTrue="1" operator="equal">
      <formula>#REF!</formula>
    </cfRule>
  </conditionalFormatting>
  <conditionalFormatting sqref="B33">
    <cfRule type="cellIs" dxfId="86" priority="7" stopIfTrue="1" operator="equal">
      <formula>#REF!</formula>
    </cfRule>
  </conditionalFormatting>
  <conditionalFormatting sqref="B52">
    <cfRule type="cellIs" dxfId="85" priority="1" stopIfTrue="1" operator="equal">
      <formula>#REF!</formula>
    </cfRule>
  </conditionalFormatting>
  <conditionalFormatting sqref="B85">
    <cfRule type="cellIs" dxfId="84" priority="6" stopIfTrue="1" operator="equal">
      <formula>#REF!</formula>
    </cfRule>
  </conditionalFormatting>
  <conditionalFormatting sqref="B96:B98">
    <cfRule type="cellIs" dxfId="83" priority="5" stopIfTrue="1" operator="equal">
      <formula>#REF!</formula>
    </cfRule>
  </conditionalFormatting>
  <conditionalFormatting sqref="K100">
    <cfRule type="cellIs" dxfId="82" priority="3" stopIfTrue="1" operator="equal">
      <formula>#REF!</formula>
    </cfRule>
  </conditionalFormatting>
  <pageMargins left="0.7" right="0.7" top="0.75" bottom="0.75" header="0.3" footer="0.3"/>
  <pageSetup scale="25" orientation="portrait" r:id="rId1"/>
  <rowBreaks count="2" manualBreakCount="2">
    <brk id="42" max="12" man="1"/>
    <brk id="99" max="12"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M82"/>
  <sheetViews>
    <sheetView view="pageBreakPreview" zoomScale="60" zoomScaleNormal="60" workbookViewId="0">
      <selection activeCell="I8" sqref="I8"/>
    </sheetView>
  </sheetViews>
  <sheetFormatPr defaultColWidth="9.140625" defaultRowHeight="12.75" x14ac:dyDescent="0.2"/>
  <cols>
    <col min="1" max="1" width="13.85546875" style="7" customWidth="1"/>
    <col min="2" max="2" width="76.28515625" style="55" customWidth="1"/>
    <col min="3" max="7" width="14.42578125" style="7" customWidth="1"/>
    <col min="8" max="8" width="21.85546875" style="56" customWidth="1"/>
    <col min="9" max="9" width="19.140625" style="166" customWidth="1"/>
    <col min="10" max="10" width="15" style="182" hidden="1" customWidth="1"/>
    <col min="11" max="11" width="26.42578125" style="166" customWidth="1"/>
    <col min="12" max="12" width="23.85546875" style="7" customWidth="1"/>
    <col min="13" max="13" width="40.7109375" style="7" customWidth="1"/>
    <col min="14" max="14" width="9.140625" style="7" customWidth="1"/>
    <col min="15" max="16384" width="9.140625" style="7"/>
  </cols>
  <sheetData>
    <row r="1" spans="1:13" ht="195.75" customHeight="1" x14ac:dyDescent="0.2">
      <c r="A1" s="559"/>
      <c r="B1" s="559"/>
      <c r="C1" s="559"/>
      <c r="D1" s="559"/>
      <c r="E1" s="559"/>
      <c r="F1" s="559"/>
      <c r="G1" s="559"/>
      <c r="H1" s="559"/>
      <c r="I1" s="559"/>
      <c r="J1" s="559"/>
      <c r="K1" s="559"/>
      <c r="L1" s="559"/>
      <c r="M1" s="560"/>
    </row>
    <row r="2" spans="1:13" ht="54" customHeight="1" x14ac:dyDescent="0.2">
      <c r="A2" s="162"/>
      <c r="B2" s="563" t="s">
        <v>13</v>
      </c>
      <c r="C2" s="564"/>
      <c r="D2" s="564"/>
      <c r="E2" s="564"/>
      <c r="F2" s="564"/>
      <c r="G2" s="564"/>
      <c r="H2" s="564"/>
      <c r="I2" s="564"/>
      <c r="J2" s="564"/>
      <c r="K2" s="565"/>
      <c r="L2" s="566" t="s">
        <v>14</v>
      </c>
      <c r="M2" s="567"/>
    </row>
    <row r="3" spans="1:13" ht="63.75" customHeight="1" x14ac:dyDescent="0.2">
      <c r="A3" s="569"/>
      <c r="B3" s="569"/>
      <c r="C3" s="569"/>
      <c r="D3" s="569"/>
      <c r="E3" s="569"/>
      <c r="F3" s="569"/>
      <c r="G3" s="569"/>
      <c r="H3" s="569"/>
      <c r="I3" s="569"/>
      <c r="J3" s="569"/>
      <c r="K3" s="569"/>
      <c r="L3" s="569"/>
      <c r="M3" s="570"/>
    </row>
    <row r="4" spans="1:13" ht="93" customHeight="1" x14ac:dyDescent="0.2">
      <c r="A4" s="554"/>
      <c r="B4" s="554"/>
      <c r="C4" s="554"/>
      <c r="D4" s="554"/>
      <c r="E4" s="554"/>
      <c r="F4" s="554"/>
      <c r="G4" s="554"/>
      <c r="H4" s="554"/>
      <c r="I4" s="554"/>
      <c r="J4" s="554"/>
      <c r="K4" s="554"/>
      <c r="L4" s="554"/>
      <c r="M4" s="555"/>
    </row>
    <row r="5" spans="1:13" ht="60.75" x14ac:dyDescent="0.2">
      <c r="A5" s="64" t="s">
        <v>17</v>
      </c>
      <c r="B5" s="18" t="s">
        <v>18</v>
      </c>
      <c r="C5" s="19" t="s">
        <v>19</v>
      </c>
      <c r="D5" s="20" t="s">
        <v>180</v>
      </c>
      <c r="E5" s="20" t="s">
        <v>302</v>
      </c>
      <c r="F5" s="20" t="s">
        <v>303</v>
      </c>
      <c r="G5" s="20" t="s">
        <v>304</v>
      </c>
      <c r="H5" s="21" t="s">
        <v>305</v>
      </c>
      <c r="I5" s="170" t="s">
        <v>37</v>
      </c>
      <c r="J5" s="175" t="s">
        <v>306</v>
      </c>
      <c r="K5" s="21" t="s">
        <v>38</v>
      </c>
      <c r="L5" s="22" t="s">
        <v>39</v>
      </c>
      <c r="M5" s="23" t="s">
        <v>40</v>
      </c>
    </row>
    <row r="6" spans="1:13" ht="22.5" x14ac:dyDescent="0.2">
      <c r="A6" s="65"/>
      <c r="B6" s="25"/>
      <c r="C6" s="20"/>
      <c r="D6" s="20"/>
      <c r="E6" s="20"/>
      <c r="F6" s="20"/>
      <c r="G6" s="20"/>
      <c r="H6" s="26"/>
      <c r="I6" s="101"/>
      <c r="J6" s="176"/>
      <c r="K6" s="26"/>
      <c r="L6" s="6"/>
      <c r="M6" s="27"/>
    </row>
    <row r="7" spans="1:13" ht="147" customHeight="1" x14ac:dyDescent="0.2">
      <c r="A7" s="5">
        <v>2.6</v>
      </c>
      <c r="B7" s="33" t="s">
        <v>41</v>
      </c>
      <c r="C7" s="3"/>
      <c r="D7" s="3"/>
      <c r="E7" s="3"/>
      <c r="F7" s="3"/>
      <c r="G7" s="3"/>
      <c r="H7" s="14"/>
      <c r="I7" s="99"/>
      <c r="J7" s="177"/>
      <c r="K7" s="99"/>
      <c r="L7" s="6"/>
      <c r="M7" s="27"/>
    </row>
    <row r="8" spans="1:13" ht="21" x14ac:dyDescent="0.2">
      <c r="A8" s="5"/>
      <c r="B8" s="33" t="s">
        <v>42</v>
      </c>
      <c r="C8" s="3" t="s">
        <v>43</v>
      </c>
      <c r="D8" s="3"/>
      <c r="E8" s="3"/>
      <c r="F8" s="3"/>
      <c r="G8" s="3"/>
      <c r="H8" s="14">
        <f>SUM(H9:H10)</f>
        <v>75.240000000000009</v>
      </c>
      <c r="I8" s="99">
        <v>205.45</v>
      </c>
      <c r="J8" s="177">
        <v>215.04451499999999</v>
      </c>
      <c r="K8" s="354">
        <f>I8*H8</f>
        <v>15458.058000000001</v>
      </c>
      <c r="L8" s="6"/>
      <c r="M8" s="27"/>
    </row>
    <row r="9" spans="1:13" ht="21" x14ac:dyDescent="0.2">
      <c r="A9" s="5"/>
      <c r="B9" s="33"/>
      <c r="C9" s="3"/>
      <c r="D9" s="14">
        <v>52</v>
      </c>
      <c r="E9" s="14">
        <f>0.45+0.3</f>
        <v>0.75</v>
      </c>
      <c r="F9" s="14">
        <f>0.45+0.3</f>
        <v>0.75</v>
      </c>
      <c r="G9" s="14">
        <v>0.8</v>
      </c>
      <c r="H9" s="14">
        <f>PRODUCT(D9:G9)</f>
        <v>23.400000000000002</v>
      </c>
      <c r="I9" s="99"/>
      <c r="J9" s="177"/>
      <c r="K9" s="99"/>
      <c r="L9" s="6"/>
      <c r="M9" s="27"/>
    </row>
    <row r="10" spans="1:13" ht="21" x14ac:dyDescent="0.2">
      <c r="A10" s="5"/>
      <c r="B10" s="33"/>
      <c r="C10" s="3"/>
      <c r="D10" s="14">
        <v>2</v>
      </c>
      <c r="E10" s="14">
        <f>3+0.6</f>
        <v>3.6</v>
      </c>
      <c r="F10" s="14">
        <f>3+0.6</f>
        <v>3.6</v>
      </c>
      <c r="G10" s="14">
        <v>2</v>
      </c>
      <c r="H10" s="14">
        <f>PRODUCT(D10:G10)</f>
        <v>51.84</v>
      </c>
      <c r="I10" s="99"/>
      <c r="J10" s="177"/>
      <c r="K10" s="99"/>
      <c r="L10" s="6"/>
      <c r="M10" s="27"/>
    </row>
    <row r="11" spans="1:13" ht="126" customHeight="1" x14ac:dyDescent="0.2">
      <c r="A11" s="5">
        <v>2.7</v>
      </c>
      <c r="B11" s="33" t="s">
        <v>44</v>
      </c>
      <c r="C11" s="3"/>
      <c r="D11" s="3"/>
      <c r="E11" s="3"/>
      <c r="F11" s="3"/>
      <c r="G11" s="14"/>
      <c r="H11" s="14"/>
      <c r="I11" s="99"/>
      <c r="J11" s="99">
        <v>0</v>
      </c>
      <c r="K11" s="99">
        <f t="shared" ref="K11:K19" si="0">I11*H11</f>
        <v>0</v>
      </c>
      <c r="L11" s="6"/>
      <c r="M11" s="27"/>
    </row>
    <row r="12" spans="1:13" ht="81" customHeight="1" x14ac:dyDescent="0.2">
      <c r="A12" s="5" t="s">
        <v>45</v>
      </c>
      <c r="B12" s="33" t="s">
        <v>46</v>
      </c>
      <c r="C12" s="3" t="s">
        <v>43</v>
      </c>
      <c r="D12" s="3"/>
      <c r="E12" s="3"/>
      <c r="F12" s="3"/>
      <c r="G12" s="3"/>
      <c r="H12" s="14">
        <f>H8</f>
        <v>75.240000000000009</v>
      </c>
      <c r="I12" s="99">
        <v>412.95</v>
      </c>
      <c r="J12" s="177">
        <v>215.023065</v>
      </c>
      <c r="K12" s="99">
        <f t="shared" si="0"/>
        <v>31070.358000000004</v>
      </c>
      <c r="L12" s="6"/>
      <c r="M12" s="27"/>
    </row>
    <row r="13" spans="1:13" ht="60.75" x14ac:dyDescent="0.2">
      <c r="A13" s="29">
        <v>2.2599999999999998</v>
      </c>
      <c r="B13" s="30" t="s">
        <v>47</v>
      </c>
      <c r="C13" s="31"/>
      <c r="D13" s="31"/>
      <c r="E13" s="31"/>
      <c r="F13" s="31"/>
      <c r="G13" s="31"/>
      <c r="H13" s="14"/>
      <c r="I13" s="99"/>
      <c r="J13" s="177">
        <v>0</v>
      </c>
      <c r="K13" s="99">
        <f t="shared" si="0"/>
        <v>0</v>
      </c>
      <c r="L13" s="6"/>
      <c r="M13" s="27"/>
    </row>
    <row r="14" spans="1:13" ht="20.25" x14ac:dyDescent="0.2">
      <c r="A14" s="29" t="s">
        <v>48</v>
      </c>
      <c r="B14" s="30" t="s">
        <v>49</v>
      </c>
      <c r="C14" s="31" t="s">
        <v>50</v>
      </c>
      <c r="D14" s="31"/>
      <c r="E14" s="31"/>
      <c r="F14" s="31"/>
      <c r="G14" s="31"/>
      <c r="H14" s="14"/>
      <c r="I14" s="178">
        <v>105</v>
      </c>
      <c r="J14" s="177">
        <v>91.845050000000001</v>
      </c>
      <c r="K14" s="99">
        <f t="shared" si="0"/>
        <v>0</v>
      </c>
      <c r="L14" s="6"/>
      <c r="M14" s="27"/>
    </row>
    <row r="15" spans="1:13" ht="20.25" x14ac:dyDescent="0.2">
      <c r="A15" s="29" t="s">
        <v>51</v>
      </c>
      <c r="B15" s="30" t="s">
        <v>52</v>
      </c>
      <c r="C15" s="31" t="s">
        <v>50</v>
      </c>
      <c r="D15" s="31"/>
      <c r="E15" s="31"/>
      <c r="F15" s="31"/>
      <c r="G15" s="31"/>
      <c r="H15" s="14"/>
      <c r="I15" s="178">
        <v>187</v>
      </c>
      <c r="J15" s="177">
        <v>182.56507999999999</v>
      </c>
      <c r="K15" s="99">
        <f t="shared" si="0"/>
        <v>0</v>
      </c>
      <c r="L15" s="6"/>
      <c r="M15" s="27"/>
    </row>
    <row r="16" spans="1:13" ht="189" x14ac:dyDescent="0.2">
      <c r="A16" s="5">
        <v>2.13</v>
      </c>
      <c r="B16" s="33" t="s">
        <v>53</v>
      </c>
      <c r="C16" s="3"/>
      <c r="D16" s="3"/>
      <c r="E16" s="3"/>
      <c r="F16" s="3"/>
      <c r="G16" s="3"/>
      <c r="H16" s="14"/>
      <c r="I16" s="99"/>
      <c r="J16" s="177">
        <v>0</v>
      </c>
      <c r="K16" s="99">
        <f t="shared" si="0"/>
        <v>0</v>
      </c>
      <c r="L16" s="6"/>
      <c r="M16" s="27"/>
    </row>
    <row r="17" spans="1:13" ht="42" x14ac:dyDescent="0.2">
      <c r="A17" s="5" t="s">
        <v>54</v>
      </c>
      <c r="B17" s="33" t="s">
        <v>55</v>
      </c>
      <c r="C17" s="3" t="s">
        <v>56</v>
      </c>
      <c r="D17" s="3"/>
      <c r="E17" s="3"/>
      <c r="F17" s="3"/>
      <c r="G17" s="3"/>
      <c r="H17" s="14"/>
      <c r="I17" s="99">
        <v>933.35</v>
      </c>
      <c r="J17" s="177">
        <v>616.01099999999997</v>
      </c>
      <c r="K17" s="99">
        <f t="shared" si="0"/>
        <v>0</v>
      </c>
      <c r="L17" s="6"/>
      <c r="M17" s="27"/>
    </row>
    <row r="18" spans="1:13" ht="42" x14ac:dyDescent="0.2">
      <c r="A18" s="5" t="s">
        <v>57</v>
      </c>
      <c r="B18" s="33" t="s">
        <v>58</v>
      </c>
      <c r="C18" s="3" t="s">
        <v>56</v>
      </c>
      <c r="D18" s="3"/>
      <c r="E18" s="3"/>
      <c r="F18" s="3"/>
      <c r="G18" s="3"/>
      <c r="H18" s="14"/>
      <c r="I18" s="99">
        <v>1074</v>
      </c>
      <c r="J18" s="177">
        <v>873.59159999999997</v>
      </c>
      <c r="K18" s="99">
        <f t="shared" si="0"/>
        <v>0</v>
      </c>
      <c r="L18" s="6"/>
      <c r="M18" s="27"/>
    </row>
    <row r="19" spans="1:13" ht="105" x14ac:dyDescent="0.2">
      <c r="A19" s="5">
        <v>2.25</v>
      </c>
      <c r="B19" s="33" t="s">
        <v>59</v>
      </c>
      <c r="C19" s="3" t="s">
        <v>60</v>
      </c>
      <c r="D19" s="3"/>
      <c r="E19" s="3"/>
      <c r="F19" s="3"/>
      <c r="G19" s="3"/>
      <c r="H19" s="14">
        <f>SUM(H20:H23)</f>
        <v>67.433999999999997</v>
      </c>
      <c r="I19" s="99">
        <v>253.95</v>
      </c>
      <c r="J19" s="177">
        <v>182.56465499999999</v>
      </c>
      <c r="K19" s="99">
        <f t="shared" si="0"/>
        <v>17124.864299999997</v>
      </c>
      <c r="L19" s="6"/>
      <c r="M19" s="27"/>
    </row>
    <row r="20" spans="1:13" ht="21" x14ac:dyDescent="0.2">
      <c r="A20" s="5"/>
      <c r="B20" s="33"/>
      <c r="C20" s="3"/>
      <c r="D20" s="3"/>
      <c r="E20" s="3"/>
      <c r="F20" s="3"/>
      <c r="G20" s="14">
        <f>H8</f>
        <v>75.240000000000009</v>
      </c>
      <c r="H20" s="14">
        <f>PRODUCT(G20)</f>
        <v>75.240000000000009</v>
      </c>
      <c r="I20" s="99"/>
      <c r="J20" s="177"/>
      <c r="K20" s="99"/>
      <c r="L20" s="6"/>
      <c r="M20" s="27"/>
    </row>
    <row r="21" spans="1:13" ht="21" x14ac:dyDescent="0.2">
      <c r="A21" s="5"/>
      <c r="B21" s="33" t="s">
        <v>337</v>
      </c>
      <c r="C21" s="3"/>
      <c r="D21" s="3"/>
      <c r="E21" s="3"/>
      <c r="F21" s="3"/>
      <c r="G21" s="14">
        <f>-H39</f>
        <v>-4.647000000000002</v>
      </c>
      <c r="H21" s="14">
        <f>PRODUCT(G21)</f>
        <v>-4.647000000000002</v>
      </c>
      <c r="I21" s="99"/>
      <c r="J21" s="177"/>
      <c r="K21" s="99"/>
      <c r="L21" s="6"/>
      <c r="M21" s="27"/>
    </row>
    <row r="22" spans="1:13" ht="21" x14ac:dyDescent="0.2">
      <c r="A22" s="5"/>
      <c r="B22" s="33" t="s">
        <v>338</v>
      </c>
      <c r="C22" s="3"/>
      <c r="D22" s="3"/>
      <c r="E22" s="3"/>
      <c r="F22" s="3"/>
      <c r="G22" s="14">
        <f>-H54</f>
        <v>-3.1590000000000003</v>
      </c>
      <c r="H22" s="14">
        <f>PRODUCT(G22)</f>
        <v>-3.1590000000000003</v>
      </c>
      <c r="I22" s="99"/>
      <c r="J22" s="177"/>
      <c r="K22" s="99"/>
      <c r="L22" s="6"/>
      <c r="M22" s="27"/>
    </row>
    <row r="23" spans="1:13" ht="21" x14ac:dyDescent="0.2">
      <c r="A23" s="5"/>
      <c r="B23" s="33"/>
      <c r="C23" s="3"/>
      <c r="D23" s="3"/>
      <c r="E23" s="3"/>
      <c r="F23" s="3"/>
      <c r="G23" s="14"/>
      <c r="H23" s="14"/>
      <c r="I23" s="99"/>
      <c r="J23" s="177"/>
      <c r="K23" s="99"/>
      <c r="L23" s="6"/>
      <c r="M23" s="27"/>
    </row>
    <row r="24" spans="1:13" ht="84" x14ac:dyDescent="0.2">
      <c r="A24" s="5">
        <v>1.1000000000000001</v>
      </c>
      <c r="B24" s="33" t="s">
        <v>61</v>
      </c>
      <c r="C24" s="6"/>
      <c r="D24" s="6"/>
      <c r="E24" s="6"/>
      <c r="F24" s="6"/>
      <c r="G24" s="6"/>
      <c r="H24" s="14"/>
      <c r="I24" s="99"/>
      <c r="J24" s="177">
        <v>0</v>
      </c>
      <c r="K24" s="99">
        <f t="shared" ref="K24:K35" si="1">I24*H24</f>
        <v>0</v>
      </c>
      <c r="L24" s="6"/>
      <c r="M24" s="27"/>
    </row>
    <row r="25" spans="1:13" ht="21" x14ac:dyDescent="0.2">
      <c r="A25" s="5" t="s">
        <v>62</v>
      </c>
      <c r="B25" s="33" t="s">
        <v>63</v>
      </c>
      <c r="C25" s="3" t="s">
        <v>60</v>
      </c>
      <c r="D25" s="3"/>
      <c r="E25" s="3"/>
      <c r="F25" s="3"/>
      <c r="G25" s="3"/>
      <c r="H25" s="14">
        <f>H8-H19</f>
        <v>7.8060000000000116</v>
      </c>
      <c r="I25" s="99">
        <v>271.45</v>
      </c>
      <c r="J25" s="177">
        <v>98.563495000000003</v>
      </c>
      <c r="K25" s="99">
        <f t="shared" si="1"/>
        <v>2118.9387000000029</v>
      </c>
      <c r="L25" s="6"/>
      <c r="M25" s="27"/>
    </row>
    <row r="26" spans="1:13" ht="21" x14ac:dyDescent="0.2">
      <c r="A26" s="5" t="s">
        <v>64</v>
      </c>
      <c r="B26" s="33" t="s">
        <v>65</v>
      </c>
      <c r="C26" s="3" t="s">
        <v>60</v>
      </c>
      <c r="D26" s="3"/>
      <c r="E26" s="3"/>
      <c r="F26" s="3"/>
      <c r="G26" s="3"/>
      <c r="H26" s="14"/>
      <c r="I26" s="99">
        <v>434.32</v>
      </c>
      <c r="J26" s="177">
        <v>147.84252799999999</v>
      </c>
      <c r="K26" s="99">
        <f t="shared" si="1"/>
        <v>0</v>
      </c>
      <c r="L26" s="6"/>
      <c r="M26" s="27"/>
    </row>
    <row r="27" spans="1:13" ht="182.25" x14ac:dyDescent="0.2">
      <c r="A27" s="32">
        <v>810</v>
      </c>
      <c r="B27" s="15" t="s">
        <v>308</v>
      </c>
      <c r="C27" s="3"/>
      <c r="D27" s="3"/>
      <c r="E27" s="3"/>
      <c r="F27" s="3"/>
      <c r="G27" s="3"/>
      <c r="H27" s="14"/>
      <c r="I27" s="99"/>
      <c r="J27" s="177">
        <v>0</v>
      </c>
      <c r="K27" s="99">
        <f t="shared" si="1"/>
        <v>0</v>
      </c>
      <c r="L27" s="6"/>
      <c r="M27" s="27"/>
    </row>
    <row r="28" spans="1:13" ht="21" x14ac:dyDescent="0.2">
      <c r="A28" s="32">
        <v>810</v>
      </c>
      <c r="B28" s="33" t="s">
        <v>66</v>
      </c>
      <c r="C28" s="3" t="s">
        <v>60</v>
      </c>
      <c r="D28" s="3"/>
      <c r="E28" s="3"/>
      <c r="F28" s="3"/>
      <c r="G28" s="3"/>
      <c r="H28" s="14">
        <f>SUM(H29:H30)</f>
        <v>0.75</v>
      </c>
      <c r="I28" s="99">
        <v>500</v>
      </c>
      <c r="J28" s="177">
        <v>730.25</v>
      </c>
      <c r="K28" s="99">
        <f t="shared" si="1"/>
        <v>375</v>
      </c>
      <c r="L28" s="6"/>
      <c r="M28" s="27"/>
    </row>
    <row r="29" spans="1:13" ht="21" x14ac:dyDescent="0.2">
      <c r="A29" s="32"/>
      <c r="B29" s="33"/>
      <c r="C29" s="3"/>
      <c r="D29" s="3"/>
      <c r="E29" s="3"/>
      <c r="F29" s="3"/>
      <c r="G29" s="3"/>
      <c r="H29" s="14">
        <f>PRODUCT(D29:G29)</f>
        <v>0</v>
      </c>
      <c r="I29" s="99"/>
      <c r="J29" s="177"/>
      <c r="K29" s="99">
        <f t="shared" si="1"/>
        <v>0</v>
      </c>
      <c r="L29" s="6"/>
      <c r="M29" s="27"/>
    </row>
    <row r="30" spans="1:13" ht="23.25" x14ac:dyDescent="0.2">
      <c r="A30" s="139">
        <v>1034</v>
      </c>
      <c r="B30" s="140" t="s">
        <v>205</v>
      </c>
      <c r="C30" s="141" t="s">
        <v>206</v>
      </c>
      <c r="D30" s="141"/>
      <c r="E30" s="141"/>
      <c r="F30" s="141"/>
      <c r="G30" s="141"/>
      <c r="H30" s="141">
        <v>0.75</v>
      </c>
      <c r="I30" s="200">
        <v>5200</v>
      </c>
      <c r="J30" s="200">
        <f>I30*H30</f>
        <v>3900</v>
      </c>
      <c r="K30" s="99">
        <f t="shared" si="1"/>
        <v>3900</v>
      </c>
      <c r="L30" s="6"/>
      <c r="M30" s="27"/>
    </row>
    <row r="31" spans="1:13" ht="21" x14ac:dyDescent="0.2">
      <c r="A31" s="32">
        <v>982</v>
      </c>
      <c r="B31" s="33" t="s">
        <v>68</v>
      </c>
      <c r="C31" s="3" t="s">
        <v>60</v>
      </c>
      <c r="D31" s="3"/>
      <c r="E31" s="3"/>
      <c r="F31" s="3"/>
      <c r="G31" s="3"/>
      <c r="H31" s="14"/>
      <c r="I31" s="99">
        <v>1500</v>
      </c>
      <c r="J31" s="177">
        <v>3024</v>
      </c>
      <c r="K31" s="99">
        <f t="shared" si="1"/>
        <v>0</v>
      </c>
      <c r="L31" s="6"/>
      <c r="M31" s="27"/>
    </row>
    <row r="32" spans="1:13" ht="21" x14ac:dyDescent="0.2">
      <c r="A32" s="5"/>
      <c r="B32" s="33" t="s">
        <v>69</v>
      </c>
      <c r="C32" s="3"/>
      <c r="D32" s="3"/>
      <c r="E32" s="3"/>
      <c r="F32" s="3"/>
      <c r="G32" s="3"/>
      <c r="H32" s="14"/>
      <c r="I32" s="99"/>
      <c r="J32" s="177"/>
      <c r="K32" s="99">
        <f t="shared" si="1"/>
        <v>0</v>
      </c>
      <c r="L32" s="6"/>
      <c r="M32" s="27"/>
    </row>
    <row r="33" spans="1:13" ht="22.5" customHeight="1" x14ac:dyDescent="0.2">
      <c r="A33" s="5" t="s">
        <v>70</v>
      </c>
      <c r="B33" s="571" t="s">
        <v>71</v>
      </c>
      <c r="C33" s="14"/>
      <c r="D33" s="14"/>
      <c r="E33" s="14"/>
      <c r="F33" s="14"/>
      <c r="G33" s="14"/>
      <c r="H33" s="14"/>
      <c r="I33" s="99"/>
      <c r="J33" s="177"/>
      <c r="K33" s="99">
        <f t="shared" si="1"/>
        <v>0</v>
      </c>
      <c r="L33" s="6"/>
      <c r="M33" s="27"/>
    </row>
    <row r="34" spans="1:13" ht="21" x14ac:dyDescent="0.2">
      <c r="A34" s="5"/>
      <c r="B34" s="571"/>
      <c r="C34" s="14"/>
      <c r="D34" s="14"/>
      <c r="E34" s="14"/>
      <c r="F34" s="14"/>
      <c r="G34" s="14"/>
      <c r="H34" s="14"/>
      <c r="I34" s="99"/>
      <c r="J34" s="177">
        <v>0</v>
      </c>
      <c r="K34" s="99">
        <f t="shared" si="1"/>
        <v>0</v>
      </c>
      <c r="L34" s="6"/>
      <c r="M34" s="27"/>
    </row>
    <row r="35" spans="1:13" ht="21" x14ac:dyDescent="0.2">
      <c r="A35" s="5"/>
      <c r="B35" s="33" t="s">
        <v>72</v>
      </c>
      <c r="C35" s="3" t="s">
        <v>73</v>
      </c>
      <c r="D35" s="3"/>
      <c r="E35" s="3"/>
      <c r="F35" s="3"/>
      <c r="G35" s="3" t="s">
        <v>309</v>
      </c>
      <c r="H35" s="14">
        <f>SUM(H36:H37)</f>
        <v>0</v>
      </c>
      <c r="I35" s="99">
        <v>53</v>
      </c>
      <c r="J35" s="177">
        <v>110.8813</v>
      </c>
      <c r="K35" s="99">
        <f t="shared" si="1"/>
        <v>0</v>
      </c>
      <c r="L35" s="6"/>
      <c r="M35" s="27"/>
    </row>
    <row r="36" spans="1:13" ht="21" x14ac:dyDescent="0.2">
      <c r="A36" s="5"/>
      <c r="B36" s="33"/>
      <c r="C36" s="3"/>
      <c r="D36" s="3"/>
      <c r="E36" s="3"/>
      <c r="F36" s="3"/>
      <c r="G36" s="3"/>
      <c r="H36" s="14">
        <f>PRODUCT(D36:G36)</f>
        <v>0</v>
      </c>
      <c r="I36" s="99"/>
      <c r="J36" s="177"/>
      <c r="K36" s="99"/>
      <c r="L36" s="6"/>
      <c r="M36" s="27"/>
    </row>
    <row r="37" spans="1:13" ht="21" x14ac:dyDescent="0.2">
      <c r="A37" s="5"/>
      <c r="B37" s="33"/>
      <c r="C37" s="3"/>
      <c r="D37" s="3"/>
      <c r="E37" s="3"/>
      <c r="F37" s="3"/>
      <c r="G37" s="3"/>
      <c r="H37" s="14">
        <f>PRODUCT(D37:G37)</f>
        <v>0</v>
      </c>
      <c r="I37" s="99"/>
      <c r="J37" s="177"/>
      <c r="K37" s="99"/>
      <c r="L37" s="6"/>
      <c r="M37" s="27"/>
    </row>
    <row r="38" spans="1:13" ht="63" x14ac:dyDescent="0.2">
      <c r="A38" s="5">
        <v>4.0999999999999996</v>
      </c>
      <c r="B38" s="33" t="s">
        <v>74</v>
      </c>
      <c r="C38" s="3"/>
      <c r="D38" s="3"/>
      <c r="E38" s="3"/>
      <c r="F38" s="3"/>
      <c r="G38" s="3"/>
      <c r="H38" s="14"/>
      <c r="I38" s="99"/>
      <c r="J38" s="177"/>
      <c r="K38" s="99">
        <f>I38*H38</f>
        <v>0</v>
      </c>
      <c r="L38" s="6"/>
      <c r="M38" s="27"/>
    </row>
    <row r="39" spans="1:13" ht="84" x14ac:dyDescent="0.2">
      <c r="A39" s="5" t="s">
        <v>75</v>
      </c>
      <c r="B39" s="33" t="s">
        <v>76</v>
      </c>
      <c r="C39" s="3" t="s">
        <v>43</v>
      </c>
      <c r="D39" s="3"/>
      <c r="E39" s="3"/>
      <c r="F39" s="3"/>
      <c r="G39" s="3" t="s">
        <v>309</v>
      </c>
      <c r="H39" s="14">
        <f>SUM(H40:H41)</f>
        <v>4.647000000000002</v>
      </c>
      <c r="I39" s="99">
        <v>6833.4</v>
      </c>
      <c r="J39" s="177">
        <v>4811.3969399999996</v>
      </c>
      <c r="K39" s="99">
        <f>I39*H39</f>
        <v>31754.809800000014</v>
      </c>
      <c r="L39" s="6"/>
      <c r="M39" s="27"/>
    </row>
    <row r="40" spans="1:13" ht="21" x14ac:dyDescent="0.2">
      <c r="A40" s="5"/>
      <c r="B40" s="33" t="s">
        <v>332</v>
      </c>
      <c r="C40" s="3"/>
      <c r="D40" s="14">
        <f>D9</f>
        <v>52</v>
      </c>
      <c r="E40" s="14">
        <f>E9-0.3+0.2</f>
        <v>0.65</v>
      </c>
      <c r="F40" s="14">
        <f>F9-0.3+0.2</f>
        <v>0.65</v>
      </c>
      <c r="G40" s="14">
        <v>0.1</v>
      </c>
      <c r="H40" s="14">
        <f>PRODUCT(D40:G40)</f>
        <v>2.1970000000000005</v>
      </c>
      <c r="I40" s="99"/>
      <c r="J40" s="177"/>
      <c r="K40" s="99"/>
      <c r="L40" s="6"/>
      <c r="M40" s="27"/>
    </row>
    <row r="41" spans="1:13" ht="21" x14ac:dyDescent="0.2">
      <c r="A41" s="5"/>
      <c r="B41" s="33"/>
      <c r="C41" s="3"/>
      <c r="D41" s="14">
        <f>D10</f>
        <v>2</v>
      </c>
      <c r="E41" s="14">
        <f>E10-0.3+0.2</f>
        <v>3.5000000000000004</v>
      </c>
      <c r="F41" s="14">
        <f>F10-0.3+0.2</f>
        <v>3.5000000000000004</v>
      </c>
      <c r="G41" s="14">
        <v>0.1</v>
      </c>
      <c r="H41" s="14">
        <f>PRODUCT(D41:G41)</f>
        <v>2.4500000000000011</v>
      </c>
      <c r="I41" s="99"/>
      <c r="J41" s="177"/>
      <c r="K41" s="99"/>
      <c r="L41" s="6"/>
      <c r="M41" s="27"/>
    </row>
    <row r="42" spans="1:13" ht="189" x14ac:dyDescent="0.2">
      <c r="A42" s="5">
        <v>16.79</v>
      </c>
      <c r="B42" s="33" t="s">
        <v>77</v>
      </c>
      <c r="C42" s="3" t="s">
        <v>43</v>
      </c>
      <c r="D42" s="3"/>
      <c r="E42" s="3"/>
      <c r="F42" s="3"/>
      <c r="G42" s="3" t="s">
        <v>309</v>
      </c>
      <c r="H42" s="14">
        <f>SUM(H43:H44)</f>
        <v>0</v>
      </c>
      <c r="I42" s="99">
        <v>2803.65</v>
      </c>
      <c r="J42" s="177">
        <v>1985.8252950000001</v>
      </c>
      <c r="K42" s="99">
        <f>I42*H42</f>
        <v>0</v>
      </c>
      <c r="L42" s="6"/>
      <c r="M42" s="27"/>
    </row>
    <row r="43" spans="1:13" ht="21" x14ac:dyDescent="0.2">
      <c r="A43" s="5"/>
      <c r="B43" s="33"/>
      <c r="C43" s="3"/>
      <c r="D43" s="3"/>
      <c r="E43" s="3"/>
      <c r="F43" s="3"/>
      <c r="G43" s="3"/>
      <c r="H43" s="14">
        <f>PRODUCT(D43:G43)</f>
        <v>0</v>
      </c>
      <c r="I43" s="99"/>
      <c r="J43" s="177"/>
      <c r="K43" s="99"/>
      <c r="L43" s="6"/>
      <c r="M43" s="27"/>
    </row>
    <row r="44" spans="1:13" ht="21" x14ac:dyDescent="0.2">
      <c r="A44" s="5"/>
      <c r="B44" s="33"/>
      <c r="C44" s="3"/>
      <c r="D44" s="3"/>
      <c r="E44" s="3"/>
      <c r="F44" s="3"/>
      <c r="G44" s="3"/>
      <c r="H44" s="14"/>
      <c r="I44" s="99"/>
      <c r="J44" s="177"/>
      <c r="K44" s="99"/>
      <c r="L44" s="6"/>
      <c r="M44" s="27"/>
    </row>
    <row r="45" spans="1:13" ht="42" x14ac:dyDescent="0.2">
      <c r="A45" s="5" t="s">
        <v>78</v>
      </c>
      <c r="B45" s="33" t="s">
        <v>79</v>
      </c>
      <c r="C45" s="3" t="s">
        <v>73</v>
      </c>
      <c r="D45" s="3"/>
      <c r="E45" s="3"/>
      <c r="F45" s="3"/>
      <c r="G45" s="3"/>
      <c r="H45" s="14"/>
      <c r="I45" s="99">
        <v>120</v>
      </c>
      <c r="J45" s="177">
        <v>151.19999999999999</v>
      </c>
      <c r="K45" s="99">
        <f>I45*H45</f>
        <v>0</v>
      </c>
      <c r="L45" s="6"/>
      <c r="M45" s="27"/>
    </row>
    <row r="46" spans="1:13" ht="42" x14ac:dyDescent="0.2">
      <c r="A46" s="5">
        <v>5.9</v>
      </c>
      <c r="B46" s="33" t="s">
        <v>80</v>
      </c>
      <c r="C46" s="3"/>
      <c r="D46" s="3"/>
      <c r="E46" s="3"/>
      <c r="F46" s="3"/>
      <c r="G46" s="3"/>
      <c r="H46" s="14"/>
      <c r="I46" s="99"/>
      <c r="J46" s="177"/>
      <c r="K46" s="99">
        <f>I46*H46</f>
        <v>0</v>
      </c>
      <c r="L46" s="6"/>
      <c r="M46" s="27"/>
    </row>
    <row r="47" spans="1:13" ht="84" x14ac:dyDescent="0.2">
      <c r="A47" s="5" t="s">
        <v>81</v>
      </c>
      <c r="B47" s="33" t="s">
        <v>310</v>
      </c>
      <c r="C47" s="3" t="s">
        <v>73</v>
      </c>
      <c r="D47" s="3"/>
      <c r="E47" s="3"/>
      <c r="F47" s="3"/>
      <c r="G47" s="3" t="s">
        <v>309</v>
      </c>
      <c r="H47" s="14">
        <f>SUM(H48:H49)</f>
        <v>41.28</v>
      </c>
      <c r="I47" s="99">
        <v>307.95</v>
      </c>
      <c r="J47" s="177">
        <v>684.32649000000004</v>
      </c>
      <c r="K47" s="99">
        <f>I47*H47</f>
        <v>12712.175999999999</v>
      </c>
      <c r="L47" s="6"/>
      <c r="M47" s="27"/>
    </row>
    <row r="48" spans="1:13" ht="21" x14ac:dyDescent="0.2">
      <c r="A48" s="5"/>
      <c r="B48" s="3" t="str">
        <f>B54</f>
        <v xml:space="preserve">FOOTING </v>
      </c>
      <c r="C48" s="3"/>
      <c r="D48" s="99">
        <f>D54</f>
        <v>52</v>
      </c>
      <c r="E48" s="3">
        <f>E54+F54</f>
        <v>0.9</v>
      </c>
      <c r="F48" s="3">
        <v>2</v>
      </c>
      <c r="G48" s="3">
        <f>G54</f>
        <v>0.3</v>
      </c>
      <c r="H48" s="14">
        <f>PRODUCT(D48:G48)</f>
        <v>28.080000000000002</v>
      </c>
      <c r="I48" s="99"/>
      <c r="J48" s="177"/>
      <c r="K48" s="99"/>
      <c r="L48" s="6"/>
      <c r="M48" s="27"/>
    </row>
    <row r="49" spans="1:13" ht="21" x14ac:dyDescent="0.2">
      <c r="A49" s="5"/>
      <c r="B49" s="3"/>
      <c r="C49" s="3"/>
      <c r="D49" s="99">
        <f>D55</f>
        <v>2</v>
      </c>
      <c r="E49" s="3">
        <f>E55+F55</f>
        <v>6.6000000000000005</v>
      </c>
      <c r="F49" s="3">
        <v>2</v>
      </c>
      <c r="G49" s="3">
        <f>G55</f>
        <v>0.5</v>
      </c>
      <c r="H49" s="14">
        <f>PRODUCT(D49:G49)</f>
        <v>13.200000000000001</v>
      </c>
      <c r="I49" s="99"/>
      <c r="J49" s="177"/>
      <c r="K49" s="99"/>
      <c r="L49" s="6"/>
      <c r="M49" s="27"/>
    </row>
    <row r="50" spans="1:13" ht="21" x14ac:dyDescent="0.2">
      <c r="A50" s="5"/>
      <c r="B50" s="33"/>
      <c r="C50" s="3"/>
      <c r="D50" s="3"/>
      <c r="E50" s="3"/>
      <c r="F50" s="3"/>
      <c r="G50" s="3"/>
      <c r="H50" s="14"/>
      <c r="I50" s="99"/>
      <c r="J50" s="177"/>
      <c r="K50" s="99"/>
      <c r="L50" s="6"/>
      <c r="M50" s="27"/>
    </row>
    <row r="51" spans="1:13" ht="409.5" x14ac:dyDescent="0.2">
      <c r="A51" s="5">
        <v>5.33</v>
      </c>
      <c r="B51" s="33" t="s">
        <v>312</v>
      </c>
      <c r="C51" s="3"/>
      <c r="D51" s="3"/>
      <c r="E51" s="3"/>
      <c r="F51" s="3"/>
      <c r="G51" s="3"/>
      <c r="H51" s="14"/>
      <c r="I51" s="99"/>
      <c r="J51" s="177"/>
      <c r="K51" s="99">
        <f>I51*H51</f>
        <v>0</v>
      </c>
      <c r="L51" s="6"/>
      <c r="M51" s="27"/>
    </row>
    <row r="52" spans="1:13" ht="21" x14ac:dyDescent="0.2">
      <c r="A52" s="5" t="s">
        <v>100</v>
      </c>
      <c r="B52" s="33" t="s">
        <v>101</v>
      </c>
      <c r="C52" s="3"/>
      <c r="D52" s="3"/>
      <c r="E52" s="3"/>
      <c r="F52" s="3"/>
      <c r="G52" s="3"/>
      <c r="H52" s="14"/>
      <c r="I52" s="99"/>
      <c r="J52" s="177"/>
      <c r="K52" s="99">
        <f>I52*H52</f>
        <v>0</v>
      </c>
      <c r="L52" s="6"/>
      <c r="M52" s="27"/>
    </row>
    <row r="53" spans="1:13" ht="42" x14ac:dyDescent="0.2">
      <c r="A53" s="5" t="s">
        <v>102</v>
      </c>
      <c r="B53" s="33" t="s">
        <v>313</v>
      </c>
      <c r="C53" s="3" t="s">
        <v>43</v>
      </c>
      <c r="D53" s="3"/>
      <c r="E53" s="3"/>
      <c r="F53" s="3"/>
      <c r="G53" s="3" t="s">
        <v>309</v>
      </c>
      <c r="H53" s="14">
        <f>SUM(H54:H60)</f>
        <v>39.849000000000004</v>
      </c>
      <c r="I53" s="99">
        <v>7997.3</v>
      </c>
      <c r="J53" s="177">
        <v>6051.5569100000002</v>
      </c>
      <c r="K53" s="99">
        <f>I53*H53</f>
        <v>318684.40770000004</v>
      </c>
      <c r="L53" s="6"/>
      <c r="M53" s="27"/>
    </row>
    <row r="54" spans="1:13" ht="21" x14ac:dyDescent="0.2">
      <c r="A54" s="5"/>
      <c r="B54" s="33" t="s">
        <v>333</v>
      </c>
      <c r="C54" s="3"/>
      <c r="D54" s="99">
        <f>D40</f>
        <v>52</v>
      </c>
      <c r="E54" s="2">
        <f>E40-0.2</f>
        <v>0.45</v>
      </c>
      <c r="F54" s="2">
        <f>F40-0.2</f>
        <v>0.45</v>
      </c>
      <c r="G54" s="3">
        <v>0.3</v>
      </c>
      <c r="H54" s="14">
        <f>PRODUCT(D54:G54)</f>
        <v>3.1590000000000003</v>
      </c>
      <c r="I54" s="99"/>
      <c r="J54" s="177"/>
      <c r="K54" s="99"/>
      <c r="L54" s="6"/>
      <c r="M54" s="27"/>
    </row>
    <row r="55" spans="1:13" ht="21" customHeight="1" x14ac:dyDescent="0.2">
      <c r="A55" s="5"/>
      <c r="B55" s="33"/>
      <c r="C55" s="3"/>
      <c r="D55" s="99">
        <f>D41</f>
        <v>2</v>
      </c>
      <c r="E55" s="2">
        <f>E41-0.2</f>
        <v>3.3000000000000003</v>
      </c>
      <c r="F55" s="2">
        <f>F41-0.2</f>
        <v>3.3000000000000003</v>
      </c>
      <c r="G55" s="3">
        <v>0.5</v>
      </c>
      <c r="H55" s="14">
        <f>PRODUCT(D55:G55)</f>
        <v>10.890000000000002</v>
      </c>
      <c r="I55" s="99"/>
      <c r="J55" s="177"/>
      <c r="K55" s="99"/>
      <c r="L55" s="6"/>
      <c r="M55" s="27"/>
    </row>
    <row r="56" spans="1:13" ht="21" x14ac:dyDescent="0.2">
      <c r="A56" s="5"/>
      <c r="B56" s="33" t="s">
        <v>348</v>
      </c>
      <c r="C56" s="3"/>
      <c r="D56" s="3"/>
      <c r="E56" s="3"/>
      <c r="F56" s="3"/>
      <c r="G56" s="3"/>
      <c r="H56" s="14"/>
      <c r="I56" s="99"/>
      <c r="J56" s="177"/>
      <c r="K56" s="99"/>
      <c r="L56" s="6"/>
      <c r="M56" s="27"/>
    </row>
    <row r="57" spans="1:13" ht="21" x14ac:dyDescent="0.2">
      <c r="A57" s="5"/>
      <c r="B57" s="33" t="s">
        <v>349</v>
      </c>
      <c r="C57" s="3"/>
      <c r="D57" s="14">
        <f>D54</f>
        <v>52</v>
      </c>
      <c r="E57" s="3">
        <v>0.4</v>
      </c>
      <c r="F57" s="3">
        <v>0.4</v>
      </c>
      <c r="G57" s="3">
        <f>1.5-0.4-0.1</f>
        <v>1</v>
      </c>
      <c r="H57" s="14">
        <f>PRODUCT(D57:G57)</f>
        <v>8.32</v>
      </c>
      <c r="I57" s="99"/>
      <c r="J57" s="177"/>
      <c r="K57" s="99"/>
      <c r="L57" s="6"/>
      <c r="M57" s="27"/>
    </row>
    <row r="58" spans="1:13" ht="21" x14ac:dyDescent="0.2">
      <c r="A58" s="5"/>
      <c r="B58" s="33"/>
      <c r="C58" s="3"/>
      <c r="D58" s="14">
        <f>D55</f>
        <v>2</v>
      </c>
      <c r="E58" s="3">
        <v>1</v>
      </c>
      <c r="F58" s="3">
        <v>1</v>
      </c>
      <c r="G58" s="3">
        <v>1</v>
      </c>
      <c r="H58" s="14">
        <f>PRODUCT(D58:G58)</f>
        <v>2</v>
      </c>
      <c r="I58" s="99"/>
      <c r="J58" s="177"/>
      <c r="K58" s="99"/>
      <c r="L58" s="6"/>
      <c r="M58" s="27"/>
    </row>
    <row r="59" spans="1:13" ht="21" x14ac:dyDescent="0.2">
      <c r="A59" s="5"/>
      <c r="B59" s="33" t="s">
        <v>350</v>
      </c>
      <c r="C59" s="3"/>
      <c r="D59" s="14">
        <f t="shared" ref="D59:F60" si="2">D57</f>
        <v>52</v>
      </c>
      <c r="E59" s="3">
        <f t="shared" si="2"/>
        <v>0.4</v>
      </c>
      <c r="F59" s="3">
        <f t="shared" si="2"/>
        <v>0.4</v>
      </c>
      <c r="G59" s="3">
        <v>1.5</v>
      </c>
      <c r="H59" s="14">
        <f>PRODUCT(D59:G59)</f>
        <v>12.48</v>
      </c>
      <c r="I59" s="99"/>
      <c r="J59" s="177"/>
      <c r="K59" s="99"/>
      <c r="L59" s="6"/>
      <c r="M59" s="27"/>
    </row>
    <row r="60" spans="1:13" ht="21" x14ac:dyDescent="0.2">
      <c r="A60" s="5"/>
      <c r="B60" s="33"/>
      <c r="C60" s="3"/>
      <c r="D60" s="14">
        <f t="shared" si="2"/>
        <v>2</v>
      </c>
      <c r="E60" s="3">
        <f t="shared" si="2"/>
        <v>1</v>
      </c>
      <c r="F60" s="3">
        <f t="shared" si="2"/>
        <v>1</v>
      </c>
      <c r="G60" s="3">
        <v>1.5</v>
      </c>
      <c r="H60" s="14">
        <f>PRODUCT(D60:G60)</f>
        <v>3</v>
      </c>
      <c r="I60" s="99"/>
      <c r="J60" s="177"/>
      <c r="K60" s="99"/>
      <c r="L60" s="6"/>
      <c r="M60" s="27"/>
    </row>
    <row r="61" spans="1:13" ht="42" x14ac:dyDescent="0.2">
      <c r="A61" s="5" t="s">
        <v>104</v>
      </c>
      <c r="B61" s="33" t="s">
        <v>315</v>
      </c>
      <c r="C61" s="3" t="s">
        <v>43</v>
      </c>
      <c r="D61" s="3"/>
      <c r="E61" s="3"/>
      <c r="F61" s="3"/>
      <c r="G61" s="3"/>
      <c r="H61" s="14"/>
      <c r="I61" s="99">
        <v>8599.35</v>
      </c>
      <c r="J61" s="177">
        <v>6262.0466699999997</v>
      </c>
      <c r="K61" s="99">
        <f>I61*H61</f>
        <v>0</v>
      </c>
      <c r="L61" s="6"/>
      <c r="M61" s="27"/>
    </row>
    <row r="62" spans="1:13" ht="42" x14ac:dyDescent="0.2">
      <c r="A62" s="5" t="s">
        <v>108</v>
      </c>
      <c r="B62" s="33" t="s">
        <v>313</v>
      </c>
      <c r="C62" s="3" t="s">
        <v>43</v>
      </c>
      <c r="D62" s="3"/>
      <c r="E62" s="3"/>
      <c r="F62" s="3"/>
      <c r="G62" s="3" t="s">
        <v>309</v>
      </c>
      <c r="H62" s="14">
        <f>SUM(H63:H63)</f>
        <v>0</v>
      </c>
      <c r="I62" s="99">
        <v>10080.15</v>
      </c>
      <c r="J62" s="177">
        <v>6660.9631200000003</v>
      </c>
      <c r="K62" s="99">
        <f>I62*H62</f>
        <v>0</v>
      </c>
      <c r="L62" s="6"/>
      <c r="M62" s="27"/>
    </row>
    <row r="63" spans="1:13" ht="21" x14ac:dyDescent="0.2">
      <c r="A63" s="5"/>
      <c r="B63" s="33"/>
      <c r="C63" s="3"/>
      <c r="D63" s="3"/>
      <c r="E63" s="3"/>
      <c r="F63" s="3"/>
      <c r="G63" s="3"/>
      <c r="H63" s="14"/>
      <c r="I63" s="99"/>
      <c r="J63" s="177"/>
      <c r="K63" s="99"/>
      <c r="L63" s="6"/>
      <c r="M63" s="27"/>
    </row>
    <row r="64" spans="1:13" ht="42" x14ac:dyDescent="0.2">
      <c r="A64" s="5" t="s">
        <v>109</v>
      </c>
      <c r="B64" s="33" t="s">
        <v>315</v>
      </c>
      <c r="C64" s="3" t="s">
        <v>43</v>
      </c>
      <c r="D64" s="3"/>
      <c r="E64" s="3"/>
      <c r="F64" s="3"/>
      <c r="G64" s="3"/>
      <c r="H64" s="14"/>
      <c r="I64" s="99">
        <v>10221.700000000001</v>
      </c>
      <c r="J64" s="177">
        <v>6870.0045700000001</v>
      </c>
      <c r="K64" s="99">
        <f>I64*H64</f>
        <v>0</v>
      </c>
      <c r="L64" s="6"/>
      <c r="M64" s="27"/>
    </row>
    <row r="65" spans="1:13" ht="105" x14ac:dyDescent="0.2">
      <c r="A65" s="5">
        <v>5.22</v>
      </c>
      <c r="B65" s="33" t="s">
        <v>316</v>
      </c>
      <c r="C65" s="8"/>
      <c r="D65" s="8"/>
      <c r="E65" s="8"/>
      <c r="F65" s="8"/>
      <c r="G65" s="8"/>
      <c r="H65" s="14"/>
      <c r="I65" s="99"/>
      <c r="J65" s="177">
        <v>0</v>
      </c>
      <c r="K65" s="99">
        <f>I65*H65</f>
        <v>0</v>
      </c>
      <c r="L65" s="6"/>
      <c r="M65" s="27"/>
    </row>
    <row r="66" spans="1:13" ht="42" x14ac:dyDescent="0.2">
      <c r="A66" s="5" t="s">
        <v>110</v>
      </c>
      <c r="B66" s="33" t="s">
        <v>111</v>
      </c>
      <c r="C66" s="3" t="s">
        <v>112</v>
      </c>
      <c r="D66" s="3"/>
      <c r="E66" s="3"/>
      <c r="F66" s="3"/>
      <c r="G66" s="3" t="s">
        <v>309</v>
      </c>
      <c r="H66" s="35">
        <f>SUM(H67)</f>
        <v>2390.94</v>
      </c>
      <c r="I66" s="99">
        <v>89.65</v>
      </c>
      <c r="J66" s="177">
        <v>90.716835000000003</v>
      </c>
      <c r="K66" s="99">
        <f>I66*H66</f>
        <v>214347.77100000001</v>
      </c>
      <c r="L66" s="6"/>
      <c r="M66" s="27"/>
    </row>
    <row r="67" spans="1:13" ht="21" x14ac:dyDescent="0.2">
      <c r="A67" s="5"/>
      <c r="B67" s="33"/>
      <c r="C67" s="3"/>
      <c r="D67" s="3">
        <v>60</v>
      </c>
      <c r="E67" s="3"/>
      <c r="F67" s="6"/>
      <c r="G67" s="14">
        <f>H62+H53</f>
        <v>39.849000000000004</v>
      </c>
      <c r="H67" s="14">
        <f>PRODUCT(D67:G67)</f>
        <v>2390.94</v>
      </c>
      <c r="I67" s="99"/>
      <c r="J67" s="177"/>
      <c r="K67" s="99"/>
      <c r="L67" s="6"/>
      <c r="M67" s="27"/>
    </row>
    <row r="68" spans="1:13" ht="21" x14ac:dyDescent="0.2">
      <c r="A68" s="5"/>
      <c r="B68" s="33"/>
      <c r="C68" s="3"/>
      <c r="D68" s="3"/>
      <c r="E68" s="3"/>
      <c r="F68" s="6"/>
      <c r="G68" s="14"/>
      <c r="H68" s="14"/>
      <c r="I68" s="99"/>
      <c r="J68" s="177"/>
      <c r="K68" s="99"/>
      <c r="L68" s="6"/>
      <c r="M68" s="27"/>
    </row>
    <row r="69" spans="1:13" ht="21" x14ac:dyDescent="0.2">
      <c r="A69" s="5"/>
      <c r="B69" s="33"/>
      <c r="C69" s="3"/>
      <c r="D69" s="3"/>
      <c r="E69" s="3"/>
      <c r="F69" s="6"/>
      <c r="G69" s="14"/>
      <c r="H69" s="14"/>
      <c r="I69" s="99"/>
      <c r="J69" s="177"/>
      <c r="K69" s="99"/>
      <c r="L69" s="6"/>
      <c r="M69" s="27"/>
    </row>
    <row r="70" spans="1:13" ht="21" x14ac:dyDescent="0.2">
      <c r="A70" s="5"/>
      <c r="B70" s="33"/>
      <c r="C70" s="3"/>
      <c r="D70" s="3"/>
      <c r="E70" s="3"/>
      <c r="F70" s="6"/>
      <c r="G70" s="14"/>
      <c r="H70" s="14"/>
      <c r="I70" s="99"/>
      <c r="J70" s="177"/>
      <c r="K70" s="99"/>
      <c r="L70" s="6"/>
      <c r="M70" s="27"/>
    </row>
    <row r="71" spans="1:13" ht="20.25" x14ac:dyDescent="0.3">
      <c r="A71" s="557"/>
      <c r="B71" s="557"/>
      <c r="C71" s="557"/>
      <c r="D71" s="557"/>
      <c r="E71" s="557"/>
      <c r="F71" s="557"/>
      <c r="G71" s="557"/>
      <c r="H71" s="557"/>
      <c r="I71" s="557"/>
      <c r="J71" s="180"/>
      <c r="K71" s="99">
        <f>SUM(K7:K68)</f>
        <v>647546.3835</v>
      </c>
      <c r="L71" s="48"/>
      <c r="M71" s="27"/>
    </row>
    <row r="72" spans="1:13" ht="20.25" x14ac:dyDescent="0.2">
      <c r="A72" s="50"/>
      <c r="B72" s="51"/>
      <c r="C72" s="50"/>
      <c r="D72" s="50"/>
      <c r="E72" s="50"/>
      <c r="F72" s="50"/>
      <c r="G72" s="50"/>
      <c r="H72" s="52"/>
      <c r="I72" s="171"/>
      <c r="J72" s="181"/>
      <c r="K72" s="165"/>
      <c r="L72" s="6"/>
      <c r="M72" s="53"/>
    </row>
    <row r="73" spans="1:13" x14ac:dyDescent="0.2">
      <c r="M73" s="57"/>
    </row>
    <row r="74" spans="1:13" x14ac:dyDescent="0.2">
      <c r="M74" s="57"/>
    </row>
    <row r="75" spans="1:13" x14ac:dyDescent="0.2">
      <c r="M75" s="57"/>
    </row>
    <row r="76" spans="1:13" x14ac:dyDescent="0.2">
      <c r="M76" s="57"/>
    </row>
    <row r="77" spans="1:13" x14ac:dyDescent="0.2">
      <c r="M77" s="57"/>
    </row>
    <row r="78" spans="1:13" x14ac:dyDescent="0.2">
      <c r="M78" s="57"/>
    </row>
    <row r="79" spans="1:13" x14ac:dyDescent="0.2">
      <c r="M79" s="57"/>
    </row>
    <row r="80" spans="1:13" x14ac:dyDescent="0.2">
      <c r="M80" s="57"/>
    </row>
    <row r="81" spans="1:13" x14ac:dyDescent="0.2">
      <c r="M81" s="57"/>
    </row>
    <row r="82" spans="1:13" x14ac:dyDescent="0.2">
      <c r="A82" s="59"/>
      <c r="B82" s="60"/>
      <c r="C82" s="59"/>
      <c r="D82" s="59"/>
      <c r="E82" s="59"/>
      <c r="F82" s="59"/>
      <c r="G82" s="59"/>
      <c r="H82" s="61"/>
      <c r="I82" s="167"/>
      <c r="J82" s="183"/>
      <c r="K82" s="167"/>
      <c r="L82" s="59"/>
      <c r="M82" s="62"/>
    </row>
  </sheetData>
  <protectedRanges>
    <protectedRange sqref="M2" name="Range1"/>
  </protectedRanges>
  <mergeCells count="7">
    <mergeCell ref="B33:B34"/>
    <mergeCell ref="A71:I71"/>
    <mergeCell ref="A1:M1"/>
    <mergeCell ref="B2:K2"/>
    <mergeCell ref="L2:M2"/>
    <mergeCell ref="A3:M3"/>
    <mergeCell ref="A4:M4"/>
  </mergeCells>
  <phoneticPr fontId="1" type="noConversion"/>
  <conditionalFormatting sqref="B27">
    <cfRule type="cellIs" dxfId="81" priority="3" stopIfTrue="1" operator="equal">
      <formula>#REF!</formula>
    </cfRule>
  </conditionalFormatting>
  <conditionalFormatting sqref="B30">
    <cfRule type="cellIs" dxfId="80" priority="1" stopIfTrue="1" operator="equal">
      <formula>#REF!</formula>
    </cfRule>
    <cfRule type="cellIs" dxfId="79" priority="2" stopIfTrue="1" operator="equal">
      <formula>#REF!</formula>
    </cfRule>
  </conditionalFormatting>
  <pageMargins left="0.7" right="0.7" top="0.75" bottom="0.75" header="0.3" footer="0.3"/>
  <pageSetup scale="3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tabColor rgb="FF92D050"/>
  </sheetPr>
  <dimension ref="A1:Q163"/>
  <sheetViews>
    <sheetView view="pageBreakPreview" zoomScale="55" zoomScaleNormal="55" workbookViewId="0">
      <selection activeCell="I8" sqref="I8"/>
    </sheetView>
  </sheetViews>
  <sheetFormatPr defaultRowHeight="21" x14ac:dyDescent="0.35"/>
  <cols>
    <col min="1" max="1" width="21.7109375" style="159" customWidth="1"/>
    <col min="2" max="2" width="117.28515625" style="147" customWidth="1"/>
    <col min="3" max="3" width="13.5703125" style="160" customWidth="1"/>
    <col min="4" max="4" width="9.140625" style="160" customWidth="1"/>
    <col min="5" max="5" width="14.7109375" style="160" customWidth="1"/>
    <col min="6" max="7" width="12.85546875" style="160" customWidth="1"/>
    <col min="8" max="8" width="19.42578125" style="161" customWidth="1"/>
    <col min="9" max="9" width="25.5703125" style="201" customWidth="1"/>
    <col min="10" max="10" width="43" style="201" customWidth="1"/>
    <col min="11" max="11" width="28.42578125" style="161" customWidth="1"/>
    <col min="12" max="13" width="21.7109375" style="161" customWidth="1"/>
    <col min="14" max="14" width="9.140625" style="147" customWidth="1"/>
    <col min="15" max="15" width="19.42578125" style="147" customWidth="1"/>
    <col min="16" max="16" width="9.140625" style="147" customWidth="1"/>
    <col min="17" max="17" width="29" style="147" customWidth="1"/>
    <col min="18" max="18" width="9.140625" style="147" customWidth="1"/>
    <col min="19" max="16384" width="9.140625" style="147"/>
  </cols>
  <sheetData>
    <row r="1" spans="1:13" ht="171" customHeight="1" x14ac:dyDescent="0.35">
      <c r="A1" s="576"/>
      <c r="B1" s="576"/>
      <c r="C1" s="576"/>
      <c r="D1" s="576"/>
      <c r="E1" s="576"/>
      <c r="F1" s="576"/>
      <c r="G1" s="576"/>
      <c r="H1" s="576"/>
      <c r="I1" s="576"/>
      <c r="J1" s="576"/>
      <c r="K1" s="576"/>
      <c r="L1" s="576"/>
      <c r="M1" s="577"/>
    </row>
    <row r="2" spans="1:13" ht="69.75" customHeight="1" x14ac:dyDescent="0.35">
      <c r="A2" s="578" t="s">
        <v>13</v>
      </c>
      <c r="B2" s="579"/>
      <c r="C2" s="579"/>
      <c r="D2" s="579"/>
      <c r="E2" s="579"/>
      <c r="F2" s="579"/>
      <c r="G2" s="579"/>
      <c r="H2" s="579"/>
      <c r="I2" s="579"/>
      <c r="J2" s="579"/>
      <c r="K2" s="580"/>
      <c r="L2" s="581" t="s">
        <v>423</v>
      </c>
      <c r="M2" s="582"/>
    </row>
    <row r="3" spans="1:13" ht="23.25" x14ac:dyDescent="0.35">
      <c r="A3" s="583" t="s">
        <v>424</v>
      </c>
      <c r="B3" s="583"/>
      <c r="C3" s="583"/>
      <c r="D3" s="583"/>
      <c r="E3" s="583"/>
      <c r="F3" s="583"/>
      <c r="G3" s="583"/>
      <c r="H3" s="583"/>
      <c r="I3" s="583"/>
      <c r="J3" s="583"/>
      <c r="K3" s="583"/>
      <c r="L3" s="583"/>
      <c r="M3" s="584"/>
    </row>
    <row r="4" spans="1:13" ht="46.5" x14ac:dyDescent="0.35">
      <c r="A4" s="148" t="s">
        <v>17</v>
      </c>
      <c r="B4" s="149" t="s">
        <v>18</v>
      </c>
      <c r="C4" s="149" t="s">
        <v>19</v>
      </c>
      <c r="D4" s="20" t="s">
        <v>180</v>
      </c>
      <c r="E4" s="20" t="s">
        <v>302</v>
      </c>
      <c r="F4" s="20" t="s">
        <v>303</v>
      </c>
      <c r="G4" s="20" t="s">
        <v>304</v>
      </c>
      <c r="H4" s="21" t="s">
        <v>305</v>
      </c>
      <c r="I4" s="199" t="s">
        <v>37</v>
      </c>
      <c r="J4" s="199" t="s">
        <v>38</v>
      </c>
      <c r="K4" s="150" t="s">
        <v>425</v>
      </c>
      <c r="L4" s="150" t="s">
        <v>426</v>
      </c>
      <c r="M4" s="151" t="s">
        <v>427</v>
      </c>
    </row>
    <row r="5" spans="1:13" ht="23.25" x14ac:dyDescent="0.35">
      <c r="A5" s="148"/>
      <c r="B5" s="149"/>
      <c r="C5" s="149"/>
      <c r="D5" s="20"/>
      <c r="E5" s="20"/>
      <c r="F5" s="20"/>
      <c r="G5" s="20"/>
      <c r="H5" s="21"/>
      <c r="I5" s="199"/>
      <c r="J5" s="199"/>
      <c r="K5" s="150"/>
      <c r="L5" s="150"/>
      <c r="M5" s="351"/>
    </row>
    <row r="6" spans="1:13" ht="183" customHeight="1" x14ac:dyDescent="0.35">
      <c r="A6" s="152">
        <v>16.690000000000001</v>
      </c>
      <c r="B6" s="153" t="s">
        <v>256</v>
      </c>
      <c r="C6" s="46" t="s">
        <v>257</v>
      </c>
      <c r="D6" s="46"/>
      <c r="E6" s="46"/>
      <c r="F6" s="46"/>
      <c r="G6" s="46"/>
      <c r="H6" s="141">
        <f>H7</f>
        <v>405</v>
      </c>
      <c r="I6" s="200">
        <v>8613.5499999999993</v>
      </c>
      <c r="J6" s="355">
        <f>I6*H6</f>
        <v>3488487.7499999995</v>
      </c>
      <c r="K6" s="154"/>
      <c r="L6" s="291"/>
      <c r="M6" s="154"/>
    </row>
    <row r="7" spans="1:13" ht="23.25" x14ac:dyDescent="0.35">
      <c r="A7" s="139"/>
      <c r="B7" s="149"/>
      <c r="C7" s="141"/>
      <c r="D7" s="141"/>
      <c r="E7" s="46">
        <v>4500</v>
      </c>
      <c r="F7" s="229">
        <v>0.15</v>
      </c>
      <c r="G7" s="208">
        <v>0.6</v>
      </c>
      <c r="H7" s="141">
        <f>PRODUCT(D7:G7)</f>
        <v>405</v>
      </c>
      <c r="I7" s="200"/>
      <c r="J7" s="200">
        <f>I7*H7</f>
        <v>0</v>
      </c>
      <c r="K7" s="154"/>
      <c r="L7" s="154"/>
      <c r="M7" s="154"/>
    </row>
    <row r="8" spans="1:13" ht="93" hidden="1" x14ac:dyDescent="0.35">
      <c r="A8" s="152">
        <v>16.48</v>
      </c>
      <c r="B8" s="140" t="s">
        <v>258</v>
      </c>
      <c r="C8" s="46"/>
      <c r="D8" s="46"/>
      <c r="E8" s="46"/>
      <c r="F8" s="46"/>
      <c r="G8" s="46"/>
      <c r="H8" s="141"/>
      <c r="I8" s="200"/>
      <c r="J8" s="200">
        <f>I8*H8</f>
        <v>0</v>
      </c>
      <c r="K8" s="154"/>
      <c r="L8" s="154"/>
      <c r="M8" s="154"/>
    </row>
    <row r="9" spans="1:13" ht="23.25" hidden="1" x14ac:dyDescent="0.35">
      <c r="A9" s="152" t="s">
        <v>259</v>
      </c>
      <c r="B9" s="140" t="s">
        <v>260</v>
      </c>
      <c r="C9" s="155" t="s">
        <v>73</v>
      </c>
      <c r="D9" s="155"/>
      <c r="E9" s="155"/>
      <c r="F9" s="155"/>
      <c r="G9" s="155"/>
      <c r="H9" s="141"/>
      <c r="I9" s="200">
        <v>239.95</v>
      </c>
      <c r="J9" s="200">
        <f>I9*H9</f>
        <v>0</v>
      </c>
      <c r="K9" s="154"/>
      <c r="L9" s="154"/>
      <c r="M9" s="154"/>
    </row>
    <row r="10" spans="1:13" ht="23.25" hidden="1" x14ac:dyDescent="0.35">
      <c r="A10" s="139"/>
      <c r="B10" s="149"/>
      <c r="C10" s="141"/>
      <c r="D10" s="46"/>
      <c r="E10" s="46"/>
      <c r="F10" s="208"/>
      <c r="G10" s="46"/>
      <c r="H10" s="141"/>
      <c r="I10" s="200"/>
      <c r="J10" s="200">
        <f>I10*H10</f>
        <v>0</v>
      </c>
      <c r="K10" s="154"/>
      <c r="L10" s="154"/>
      <c r="M10" s="154"/>
    </row>
    <row r="11" spans="1:13" ht="23.25" x14ac:dyDescent="0.35">
      <c r="A11" s="139"/>
      <c r="B11" s="149"/>
      <c r="C11" s="141"/>
      <c r="D11" s="46"/>
      <c r="E11" s="46"/>
      <c r="F11" s="208"/>
      <c r="G11" s="46"/>
      <c r="H11" s="141"/>
      <c r="I11" s="200"/>
      <c r="J11" s="200"/>
      <c r="K11" s="154"/>
      <c r="L11" s="154"/>
      <c r="M11" s="154"/>
    </row>
    <row r="12" spans="1:13" ht="409.5" customHeight="1" x14ac:dyDescent="0.35">
      <c r="A12" s="152">
        <v>16.59</v>
      </c>
      <c r="B12" s="140" t="s">
        <v>261</v>
      </c>
      <c r="C12" s="141"/>
      <c r="D12" s="141"/>
      <c r="E12" s="141"/>
      <c r="F12" s="141"/>
      <c r="G12" s="141"/>
      <c r="H12" s="141"/>
      <c r="I12" s="200"/>
      <c r="J12" s="200">
        <f t="shared" ref="J12:J25" si="0">I12*H12</f>
        <v>0</v>
      </c>
      <c r="K12" s="154"/>
      <c r="L12" s="154"/>
      <c r="M12" s="154"/>
    </row>
    <row r="13" spans="1:13" ht="46.5" x14ac:dyDescent="0.35">
      <c r="A13" s="152" t="s">
        <v>262</v>
      </c>
      <c r="B13" s="140" t="s">
        <v>263</v>
      </c>
      <c r="C13" s="156" t="s">
        <v>264</v>
      </c>
      <c r="D13" s="156"/>
      <c r="E13" s="156"/>
      <c r="F13" s="156"/>
      <c r="G13" s="156"/>
      <c r="H13" s="141">
        <v>20</v>
      </c>
      <c r="I13" s="200">
        <v>5745.95</v>
      </c>
      <c r="J13" s="355">
        <f t="shared" si="0"/>
        <v>114919</v>
      </c>
      <c r="K13" s="154"/>
      <c r="L13" s="154"/>
      <c r="M13" s="154"/>
    </row>
    <row r="14" spans="1:13" ht="46.5" x14ac:dyDescent="0.35">
      <c r="A14" s="152" t="s">
        <v>265</v>
      </c>
      <c r="B14" s="140" t="s">
        <v>266</v>
      </c>
      <c r="C14" s="156" t="s">
        <v>264</v>
      </c>
      <c r="D14" s="156"/>
      <c r="E14" s="156"/>
      <c r="F14" s="156"/>
      <c r="G14" s="156"/>
      <c r="H14" s="141">
        <v>20</v>
      </c>
      <c r="I14" s="200">
        <v>4209.2</v>
      </c>
      <c r="J14" s="355">
        <f t="shared" si="0"/>
        <v>84184</v>
      </c>
      <c r="K14" s="154"/>
      <c r="L14" s="154"/>
      <c r="M14" s="154"/>
    </row>
    <row r="15" spans="1:13" ht="23.25" x14ac:dyDescent="0.35">
      <c r="A15" s="139"/>
      <c r="B15" s="149"/>
      <c r="C15" s="141"/>
      <c r="D15" s="141"/>
      <c r="E15" s="141"/>
      <c r="F15" s="141"/>
      <c r="G15" s="141"/>
      <c r="H15" s="141"/>
      <c r="I15" s="200"/>
      <c r="J15" s="200">
        <f t="shared" si="0"/>
        <v>0</v>
      </c>
      <c r="K15" s="154"/>
      <c r="L15" s="154"/>
      <c r="M15" s="154"/>
    </row>
    <row r="16" spans="1:13" ht="69.75" x14ac:dyDescent="0.35">
      <c r="A16" s="202">
        <v>10.26</v>
      </c>
      <c r="B16" s="140" t="s">
        <v>267</v>
      </c>
      <c r="C16" s="203"/>
      <c r="D16" s="203"/>
      <c r="E16" s="203"/>
      <c r="F16" s="203"/>
      <c r="G16" s="203"/>
      <c r="H16" s="203"/>
      <c r="I16" s="204"/>
      <c r="J16" s="205">
        <f t="shared" si="0"/>
        <v>0</v>
      </c>
      <c r="K16" s="154"/>
      <c r="L16" s="154"/>
      <c r="M16" s="154"/>
    </row>
    <row r="17" spans="1:13" ht="23.25" x14ac:dyDescent="0.35">
      <c r="A17" s="202" t="s">
        <v>268</v>
      </c>
      <c r="B17" s="140" t="s">
        <v>269</v>
      </c>
      <c r="C17" s="206" t="s">
        <v>112</v>
      </c>
      <c r="D17" s="206"/>
      <c r="E17" s="206"/>
      <c r="F17" s="206"/>
      <c r="G17" s="206"/>
      <c r="H17" s="206"/>
      <c r="I17" s="205">
        <v>157.15</v>
      </c>
      <c r="J17" s="205">
        <f t="shared" si="0"/>
        <v>0</v>
      </c>
      <c r="K17" s="154"/>
      <c r="L17" s="154"/>
      <c r="M17" s="154"/>
    </row>
    <row r="18" spans="1:13" ht="23.25" x14ac:dyDescent="0.35">
      <c r="A18" s="202"/>
      <c r="B18" s="207"/>
      <c r="C18" s="206"/>
      <c r="D18" s="206"/>
      <c r="E18" s="206"/>
      <c r="F18" s="206"/>
      <c r="G18" s="206"/>
      <c r="H18" s="206"/>
      <c r="I18" s="205"/>
      <c r="J18" s="205">
        <f t="shared" si="0"/>
        <v>0</v>
      </c>
      <c r="K18" s="154"/>
      <c r="L18" s="154"/>
      <c r="M18" s="154"/>
    </row>
    <row r="19" spans="1:13" ht="232.5" x14ac:dyDescent="0.35">
      <c r="A19" s="139">
        <v>16.91</v>
      </c>
      <c r="B19" s="140" t="s">
        <v>237</v>
      </c>
      <c r="C19" s="141"/>
      <c r="D19" s="141"/>
      <c r="E19" s="141"/>
      <c r="F19" s="141"/>
      <c r="G19" s="141"/>
      <c r="H19" s="141"/>
      <c r="I19" s="200"/>
      <c r="J19" s="200">
        <f t="shared" si="0"/>
        <v>0</v>
      </c>
      <c r="K19" s="154"/>
      <c r="L19" s="154"/>
      <c r="M19" s="154"/>
    </row>
    <row r="20" spans="1:13" ht="46.5" x14ac:dyDescent="0.35">
      <c r="A20" s="139" t="s">
        <v>238</v>
      </c>
      <c r="B20" s="140" t="s">
        <v>239</v>
      </c>
      <c r="C20" s="141" t="s">
        <v>73</v>
      </c>
      <c r="D20" s="141">
        <v>12921</v>
      </c>
      <c r="E20" s="141"/>
      <c r="F20" s="141"/>
      <c r="G20" s="141"/>
      <c r="H20" s="141">
        <f>PRODUCT(D20:G20)</f>
        <v>12921</v>
      </c>
      <c r="I20" s="200">
        <v>932.35</v>
      </c>
      <c r="J20" s="355">
        <f t="shared" si="0"/>
        <v>12046894.35</v>
      </c>
      <c r="K20" s="154"/>
      <c r="L20" s="154"/>
      <c r="M20" s="154"/>
    </row>
    <row r="21" spans="1:13" ht="23.25" x14ac:dyDescent="0.35">
      <c r="A21" s="139"/>
      <c r="B21" s="140"/>
      <c r="C21" s="141"/>
      <c r="D21" s="141"/>
      <c r="E21" s="141"/>
      <c r="F21" s="141"/>
      <c r="G21" s="141"/>
      <c r="H21" s="141"/>
      <c r="I21" s="200"/>
      <c r="J21" s="200">
        <f t="shared" si="0"/>
        <v>0</v>
      </c>
      <c r="K21" s="154"/>
      <c r="L21" s="154"/>
      <c r="M21" s="154"/>
    </row>
    <row r="22" spans="1:13" ht="46.5" x14ac:dyDescent="0.35">
      <c r="A22" s="139" t="s">
        <v>240</v>
      </c>
      <c r="B22" s="140" t="s">
        <v>311</v>
      </c>
      <c r="C22" s="141" t="s">
        <v>73</v>
      </c>
      <c r="D22" s="141"/>
      <c r="E22" s="141"/>
      <c r="F22" s="141"/>
      <c r="G22" s="141"/>
      <c r="H22" s="141"/>
      <c r="I22" s="200">
        <v>1011.2</v>
      </c>
      <c r="J22" s="200">
        <f t="shared" si="0"/>
        <v>0</v>
      </c>
      <c r="K22" s="154"/>
      <c r="L22" s="154"/>
      <c r="M22" s="154"/>
    </row>
    <row r="23" spans="1:13" ht="23.25" x14ac:dyDescent="0.35">
      <c r="A23" s="139"/>
      <c r="B23" s="149"/>
      <c r="C23" s="141"/>
      <c r="D23" s="141"/>
      <c r="E23" s="141"/>
      <c r="F23" s="141"/>
      <c r="G23" s="141"/>
      <c r="H23" s="141"/>
      <c r="I23" s="200"/>
      <c r="J23" s="200">
        <f t="shared" si="0"/>
        <v>0</v>
      </c>
      <c r="K23" s="154"/>
      <c r="L23" s="154"/>
      <c r="M23" s="154"/>
    </row>
    <row r="24" spans="1:13" ht="46.5" x14ac:dyDescent="0.35">
      <c r="A24" s="139">
        <v>13.47</v>
      </c>
      <c r="B24" s="140" t="s">
        <v>428</v>
      </c>
      <c r="C24" s="141"/>
      <c r="D24" s="141"/>
      <c r="E24" s="141"/>
      <c r="F24" s="141"/>
      <c r="G24" s="141"/>
      <c r="H24" s="141"/>
      <c r="I24" s="200"/>
      <c r="J24" s="200">
        <f t="shared" si="0"/>
        <v>0</v>
      </c>
      <c r="K24" s="154"/>
      <c r="L24" s="154"/>
      <c r="M24" s="154"/>
    </row>
    <row r="25" spans="1:13" ht="69.75" x14ac:dyDescent="0.35">
      <c r="A25" s="139" t="s">
        <v>129</v>
      </c>
      <c r="B25" s="140" t="s">
        <v>130</v>
      </c>
      <c r="C25" s="141" t="s">
        <v>73</v>
      </c>
      <c r="D25" s="141">
        <v>1</v>
      </c>
      <c r="E25" s="141">
        <v>2600</v>
      </c>
      <c r="F25" s="141">
        <v>2</v>
      </c>
      <c r="G25" s="141">
        <v>2.2999999999999998</v>
      </c>
      <c r="H25" s="141">
        <f>PRODUCT(D25:G25)</f>
        <v>11959.999999999998</v>
      </c>
      <c r="I25" s="200">
        <v>162.35</v>
      </c>
      <c r="J25" s="355">
        <f t="shared" si="0"/>
        <v>1941705.9999999995</v>
      </c>
      <c r="K25" s="154"/>
      <c r="L25" s="154"/>
      <c r="M25" s="154"/>
    </row>
    <row r="26" spans="1:13" ht="23.25" x14ac:dyDescent="0.35">
      <c r="A26" s="139"/>
      <c r="B26" s="140"/>
      <c r="C26" s="141"/>
      <c r="D26" s="141"/>
      <c r="E26" s="141"/>
      <c r="F26" s="141"/>
      <c r="G26" s="141"/>
      <c r="H26" s="141"/>
      <c r="I26" s="200"/>
      <c r="J26" s="200"/>
      <c r="K26" s="154"/>
      <c r="L26" s="154"/>
      <c r="M26" s="261"/>
    </row>
    <row r="27" spans="1:13" ht="40.5" x14ac:dyDescent="0.35">
      <c r="A27" s="139" t="s">
        <v>270</v>
      </c>
      <c r="B27" s="11" t="s">
        <v>271</v>
      </c>
      <c r="C27" s="40"/>
      <c r="D27" s="222"/>
      <c r="E27" s="222"/>
      <c r="F27" s="222"/>
      <c r="G27" s="222"/>
      <c r="H27" s="222"/>
      <c r="I27" s="79"/>
      <c r="J27" s="200"/>
      <c r="K27" s="157"/>
      <c r="L27" s="157"/>
      <c r="M27" s="158"/>
    </row>
    <row r="28" spans="1:13" x14ac:dyDescent="0.35">
      <c r="A28" s="262" t="s">
        <v>272</v>
      </c>
      <c r="B28" s="11" t="s">
        <v>273</v>
      </c>
      <c r="C28" s="40" t="s">
        <v>180</v>
      </c>
      <c r="D28" s="222"/>
      <c r="E28" s="179">
        <f>2600/3</f>
        <v>866.66666666666663</v>
      </c>
      <c r="F28" s="222">
        <v>3</v>
      </c>
      <c r="G28" s="222"/>
      <c r="H28" s="222">
        <f>PRODUCT(D28:G28)</f>
        <v>2600</v>
      </c>
      <c r="I28" s="223">
        <v>145</v>
      </c>
      <c r="J28" s="355">
        <f>I28*H28</f>
        <v>377000</v>
      </c>
      <c r="K28" s="157"/>
      <c r="L28" s="157"/>
      <c r="M28" s="158"/>
    </row>
    <row r="29" spans="1:13" x14ac:dyDescent="0.35">
      <c r="A29" s="262"/>
      <c r="B29" s="11"/>
      <c r="C29" s="40"/>
      <c r="D29" s="222"/>
      <c r="E29" s="222"/>
      <c r="F29" s="222"/>
      <c r="G29" s="222"/>
      <c r="H29" s="222"/>
      <c r="I29" s="223"/>
      <c r="J29" s="223"/>
      <c r="K29" s="260"/>
      <c r="L29" s="157"/>
      <c r="M29" s="158"/>
    </row>
    <row r="30" spans="1:13" ht="46.5" x14ac:dyDescent="0.35">
      <c r="A30" s="139" t="s">
        <v>270</v>
      </c>
      <c r="B30" s="140" t="s">
        <v>274</v>
      </c>
      <c r="C30" s="141" t="s">
        <v>206</v>
      </c>
      <c r="D30" s="141"/>
      <c r="E30" s="141"/>
      <c r="F30" s="141"/>
      <c r="G30" s="141"/>
      <c r="H30" s="141">
        <v>45</v>
      </c>
      <c r="I30" s="200">
        <v>9200</v>
      </c>
      <c r="J30" s="355">
        <f>I30*H30</f>
        <v>414000</v>
      </c>
      <c r="K30" s="154"/>
      <c r="L30" s="154"/>
      <c r="M30" s="154"/>
    </row>
    <row r="31" spans="1:13" ht="23.25" x14ac:dyDescent="0.35">
      <c r="A31" s="139" t="s">
        <v>270</v>
      </c>
      <c r="B31" s="140" t="s">
        <v>275</v>
      </c>
      <c r="C31" s="141" t="s">
        <v>206</v>
      </c>
      <c r="D31" s="141"/>
      <c r="E31" s="141"/>
      <c r="F31" s="141"/>
      <c r="G31" s="141"/>
      <c r="H31" s="141">
        <v>45</v>
      </c>
      <c r="I31" s="200">
        <v>3000</v>
      </c>
      <c r="J31" s="355">
        <f>I31*H31</f>
        <v>135000</v>
      </c>
      <c r="K31" s="154"/>
      <c r="L31" s="154"/>
      <c r="M31" s="154"/>
    </row>
    <row r="32" spans="1:13" ht="69.75" x14ac:dyDescent="0.35">
      <c r="A32" s="174">
        <v>15.2</v>
      </c>
      <c r="B32" s="140" t="s">
        <v>276</v>
      </c>
      <c r="C32" s="141" t="s">
        <v>257</v>
      </c>
      <c r="D32" s="141"/>
      <c r="E32" s="141"/>
      <c r="F32" s="141"/>
      <c r="G32" s="141"/>
      <c r="H32" s="141">
        <v>50</v>
      </c>
      <c r="I32" s="142">
        <v>2928.1</v>
      </c>
      <c r="J32" s="355">
        <f>I32*H32</f>
        <v>146405</v>
      </c>
      <c r="K32" s="154"/>
      <c r="L32" s="154"/>
      <c r="M32" s="154"/>
    </row>
    <row r="33" spans="1:13" ht="23.25" x14ac:dyDescent="0.35">
      <c r="A33" s="139"/>
      <c r="B33" s="140" t="s">
        <v>429</v>
      </c>
      <c r="C33" s="222"/>
      <c r="D33" s="222"/>
      <c r="E33" s="222"/>
      <c r="F33" s="222"/>
      <c r="G33" s="222"/>
      <c r="H33" s="222"/>
      <c r="I33" s="223"/>
      <c r="J33" s="200">
        <f>I33*H33</f>
        <v>0</v>
      </c>
      <c r="K33" s="157"/>
      <c r="L33" s="157"/>
      <c r="M33" s="157"/>
    </row>
    <row r="34" spans="1:13" ht="209.25" x14ac:dyDescent="0.35">
      <c r="A34" s="139">
        <v>16.62</v>
      </c>
      <c r="B34" s="140" t="s">
        <v>277</v>
      </c>
      <c r="C34" s="141" t="s">
        <v>278</v>
      </c>
      <c r="D34" s="222"/>
      <c r="E34" s="222"/>
      <c r="F34" s="222"/>
      <c r="G34" s="222"/>
      <c r="H34" s="222">
        <f>SUM(H35:H36)</f>
        <v>1031.8499999999999</v>
      </c>
      <c r="I34" s="142">
        <v>623.79999999999995</v>
      </c>
      <c r="J34" s="355">
        <f>I34*H34</f>
        <v>643668.02999999991</v>
      </c>
      <c r="K34" s="157"/>
      <c r="L34" s="157"/>
      <c r="M34" s="157"/>
    </row>
    <row r="35" spans="1:13" ht="23.25" x14ac:dyDescent="0.35">
      <c r="A35" s="139"/>
      <c r="B35" s="140"/>
      <c r="C35" s="141"/>
      <c r="D35" s="46">
        <v>1</v>
      </c>
      <c r="E35" s="46">
        <f>(1205+1088)/2</f>
        <v>1146.5</v>
      </c>
      <c r="F35" s="208">
        <v>0.5</v>
      </c>
      <c r="G35" s="46"/>
      <c r="H35" s="141">
        <f>PRODUCT(D35:G35)</f>
        <v>573.25</v>
      </c>
      <c r="I35" s="223"/>
      <c r="J35" s="200"/>
      <c r="K35" s="157"/>
      <c r="L35" s="157"/>
      <c r="M35" s="157"/>
    </row>
    <row r="36" spans="1:13" ht="23.25" x14ac:dyDescent="0.35">
      <c r="A36" s="139"/>
      <c r="B36" s="140"/>
      <c r="C36" s="141"/>
      <c r="D36" s="46">
        <v>2</v>
      </c>
      <c r="E36" s="46">
        <f>E35</f>
        <v>1146.5</v>
      </c>
      <c r="F36" s="208">
        <v>0.2</v>
      </c>
      <c r="G36" s="46"/>
      <c r="H36" s="141">
        <f>PRODUCT(D36:G36)</f>
        <v>458.6</v>
      </c>
      <c r="I36" s="223"/>
      <c r="J36" s="200"/>
      <c r="K36" s="157"/>
      <c r="L36" s="157"/>
      <c r="M36" s="157"/>
    </row>
    <row r="37" spans="1:13" ht="302.25" x14ac:dyDescent="0.35">
      <c r="A37" s="139">
        <v>16.5</v>
      </c>
      <c r="B37" s="140" t="s">
        <v>279</v>
      </c>
      <c r="C37" s="141" t="s">
        <v>280</v>
      </c>
      <c r="D37" s="46"/>
      <c r="E37" s="46"/>
      <c r="F37" s="208"/>
      <c r="G37" s="46"/>
      <c r="H37" s="141"/>
      <c r="I37" s="142">
        <v>175.5</v>
      </c>
      <c r="J37" s="200">
        <f>I37*H37</f>
        <v>0</v>
      </c>
      <c r="K37" s="157"/>
      <c r="L37" s="157"/>
      <c r="M37" s="157"/>
    </row>
    <row r="38" spans="1:13" ht="23.25" x14ac:dyDescent="0.35">
      <c r="A38" s="139"/>
      <c r="B38" s="140"/>
      <c r="C38" s="222"/>
      <c r="D38" s="222"/>
      <c r="E38" s="222"/>
      <c r="F38" s="222"/>
      <c r="G38" s="222"/>
      <c r="H38" s="222"/>
      <c r="I38" s="223"/>
      <c r="J38" s="200"/>
      <c r="K38" s="157"/>
      <c r="L38" s="157"/>
      <c r="M38" s="157"/>
    </row>
    <row r="39" spans="1:13" ht="46.5" x14ac:dyDescent="0.35">
      <c r="A39" s="139" t="s">
        <v>270</v>
      </c>
      <c r="B39" s="140" t="s">
        <v>281</v>
      </c>
      <c r="C39" s="141" t="s">
        <v>280</v>
      </c>
      <c r="D39" s="222"/>
      <c r="E39" s="222">
        <f>2293/3</f>
        <v>764.33333333333337</v>
      </c>
      <c r="F39" s="222"/>
      <c r="G39" s="222"/>
      <c r="H39" s="141">
        <f>PRODUCT(D39:G39)</f>
        <v>764.33333333333337</v>
      </c>
      <c r="I39" s="142">
        <v>2463</v>
      </c>
      <c r="J39" s="355">
        <f>I39*H39</f>
        <v>1882553</v>
      </c>
      <c r="K39" s="157"/>
      <c r="L39" s="157"/>
      <c r="M39" s="157"/>
    </row>
    <row r="40" spans="1:13" ht="46.5" x14ac:dyDescent="0.35">
      <c r="A40" s="139" t="s">
        <v>270</v>
      </c>
      <c r="B40" s="140" t="s">
        <v>282</v>
      </c>
      <c r="C40" s="141" t="s">
        <v>283</v>
      </c>
      <c r="D40" s="222"/>
      <c r="E40" s="222">
        <v>100</v>
      </c>
      <c r="F40" s="222"/>
      <c r="G40" s="222"/>
      <c r="H40" s="141">
        <f>PRODUCT(D40:G40)</f>
        <v>100</v>
      </c>
      <c r="I40" s="142">
        <v>1478</v>
      </c>
      <c r="J40" s="355">
        <f>I40*H40</f>
        <v>147800</v>
      </c>
      <c r="K40" s="157"/>
      <c r="L40" s="157"/>
      <c r="M40" s="157"/>
    </row>
    <row r="41" spans="1:13" x14ac:dyDescent="0.35">
      <c r="A41" s="139" t="s">
        <v>270</v>
      </c>
      <c r="B41" s="15" t="s">
        <v>284</v>
      </c>
      <c r="C41" s="1" t="s">
        <v>180</v>
      </c>
      <c r="D41" s="222"/>
      <c r="E41" s="222"/>
      <c r="F41" s="222"/>
      <c r="G41" s="222"/>
      <c r="H41" s="141"/>
      <c r="I41" s="223"/>
      <c r="J41" s="200"/>
      <c r="K41" s="157"/>
      <c r="L41" s="157"/>
      <c r="M41" s="157"/>
    </row>
    <row r="42" spans="1:13" x14ac:dyDescent="0.35">
      <c r="A42" s="228" t="s">
        <v>178</v>
      </c>
      <c r="B42" s="15" t="s">
        <v>285</v>
      </c>
      <c r="C42" s="1" t="s">
        <v>180</v>
      </c>
      <c r="D42" s="222"/>
      <c r="E42" s="222">
        <v>2600</v>
      </c>
      <c r="F42" s="222"/>
      <c r="G42" s="222"/>
      <c r="H42" s="141">
        <f>PRODUCT(D42:G42)</f>
        <v>2600</v>
      </c>
      <c r="I42" s="142">
        <v>395</v>
      </c>
      <c r="J42" s="355">
        <f>I42*H42</f>
        <v>1027000</v>
      </c>
      <c r="K42" s="157"/>
      <c r="L42" s="157"/>
      <c r="M42" s="157"/>
    </row>
    <row r="43" spans="1:13" x14ac:dyDescent="0.35">
      <c r="A43" s="228" t="s">
        <v>181</v>
      </c>
      <c r="B43" s="15" t="s">
        <v>286</v>
      </c>
      <c r="C43" s="1" t="s">
        <v>180</v>
      </c>
      <c r="D43" s="222"/>
      <c r="E43" s="222">
        <v>20</v>
      </c>
      <c r="F43" s="222"/>
      <c r="G43" s="222"/>
      <c r="H43" s="141">
        <f>PRODUCT(D43:G43)</f>
        <v>20</v>
      </c>
      <c r="I43" s="142">
        <v>591</v>
      </c>
      <c r="J43" s="355">
        <f>I43*H43</f>
        <v>11820</v>
      </c>
      <c r="K43" s="157"/>
      <c r="L43" s="157"/>
      <c r="M43" s="157"/>
    </row>
    <row r="44" spans="1:13" x14ac:dyDescent="0.35">
      <c r="A44" s="228" t="s">
        <v>183</v>
      </c>
      <c r="B44" s="15" t="s">
        <v>287</v>
      </c>
      <c r="C44" s="1" t="s">
        <v>180</v>
      </c>
      <c r="D44" s="222"/>
      <c r="E44" s="222">
        <v>15</v>
      </c>
      <c r="F44" s="222"/>
      <c r="G44" s="222"/>
      <c r="H44" s="141">
        <f>PRODUCT(D44:G44)</f>
        <v>15</v>
      </c>
      <c r="I44" s="142">
        <v>710</v>
      </c>
      <c r="J44" s="355">
        <f>I44*H44</f>
        <v>10650</v>
      </c>
      <c r="K44" s="157"/>
      <c r="L44" s="157"/>
      <c r="M44" s="157"/>
    </row>
    <row r="45" spans="1:13" x14ac:dyDescent="0.35">
      <c r="A45" s="228" t="s">
        <v>185</v>
      </c>
      <c r="B45" s="15" t="s">
        <v>288</v>
      </c>
      <c r="C45" s="1" t="s">
        <v>180</v>
      </c>
      <c r="D45" s="222"/>
      <c r="E45" s="222">
        <v>20</v>
      </c>
      <c r="F45" s="222"/>
      <c r="G45" s="222"/>
      <c r="H45" s="141">
        <f>PRODUCT(D45:G45)</f>
        <v>20</v>
      </c>
      <c r="I45" s="142">
        <v>974</v>
      </c>
      <c r="J45" s="355">
        <f>I45*H45</f>
        <v>19480</v>
      </c>
      <c r="K45" s="157"/>
      <c r="L45" s="157"/>
      <c r="M45" s="157"/>
    </row>
    <row r="46" spans="1:13" x14ac:dyDescent="0.35">
      <c r="A46" s="139" t="s">
        <v>270</v>
      </c>
      <c r="B46" s="15" t="s">
        <v>289</v>
      </c>
      <c r="C46" s="1"/>
      <c r="D46" s="222"/>
      <c r="E46" s="222"/>
      <c r="F46" s="222"/>
      <c r="G46" s="222"/>
      <c r="H46" s="141"/>
      <c r="I46" s="142"/>
      <c r="J46" s="200"/>
      <c r="K46" s="157"/>
      <c r="L46" s="157"/>
      <c r="M46" s="157"/>
    </row>
    <row r="47" spans="1:13" x14ac:dyDescent="0.35">
      <c r="A47" s="228" t="s">
        <v>178</v>
      </c>
      <c r="B47" s="15" t="s">
        <v>290</v>
      </c>
      <c r="C47" s="1" t="s">
        <v>180</v>
      </c>
      <c r="D47" s="222"/>
      <c r="E47" s="222">
        <v>50</v>
      </c>
      <c r="F47" s="222"/>
      <c r="G47" s="222"/>
      <c r="H47" s="141">
        <f t="shared" ref="H47:H58" si="1">PRODUCT(D47:G47)</f>
        <v>50</v>
      </c>
      <c r="I47" s="142">
        <v>784</v>
      </c>
      <c r="J47" s="355">
        <f t="shared" ref="J47:J58" si="2">I47*H47</f>
        <v>39200</v>
      </c>
      <c r="K47" s="157"/>
      <c r="L47" s="157"/>
      <c r="M47" s="157"/>
    </row>
    <row r="48" spans="1:13" x14ac:dyDescent="0.35">
      <c r="A48" s="228" t="s">
        <v>291</v>
      </c>
      <c r="B48" s="15" t="s">
        <v>292</v>
      </c>
      <c r="C48" s="1" t="s">
        <v>180</v>
      </c>
      <c r="D48" s="222"/>
      <c r="E48" s="222">
        <v>60</v>
      </c>
      <c r="F48" s="222"/>
      <c r="G48" s="222"/>
      <c r="H48" s="141">
        <f t="shared" si="1"/>
        <v>60</v>
      </c>
      <c r="I48" s="142">
        <v>700</v>
      </c>
      <c r="J48" s="355">
        <f t="shared" si="2"/>
        <v>42000</v>
      </c>
      <c r="K48" s="157"/>
      <c r="L48" s="157"/>
      <c r="M48" s="157"/>
    </row>
    <row r="49" spans="1:17" x14ac:dyDescent="0.35">
      <c r="A49" s="228" t="s">
        <v>183</v>
      </c>
      <c r="B49" s="15" t="s">
        <v>293</v>
      </c>
      <c r="C49" s="1" t="s">
        <v>180</v>
      </c>
      <c r="D49" s="222"/>
      <c r="E49" s="222">
        <v>40</v>
      </c>
      <c r="F49" s="222"/>
      <c r="G49" s="222"/>
      <c r="H49" s="141">
        <f t="shared" si="1"/>
        <v>40</v>
      </c>
      <c r="I49" s="142">
        <v>656</v>
      </c>
      <c r="J49" s="355">
        <f t="shared" si="2"/>
        <v>26240</v>
      </c>
      <c r="K49" s="157"/>
      <c r="L49" s="157"/>
      <c r="M49" s="157"/>
    </row>
    <row r="50" spans="1:17" x14ac:dyDescent="0.35">
      <c r="A50" s="228" t="s">
        <v>185</v>
      </c>
      <c r="B50" s="15" t="s">
        <v>294</v>
      </c>
      <c r="C50" s="1" t="s">
        <v>180</v>
      </c>
      <c r="D50" s="222"/>
      <c r="E50" s="222">
        <v>50</v>
      </c>
      <c r="F50" s="222"/>
      <c r="G50" s="222"/>
      <c r="H50" s="141">
        <f t="shared" si="1"/>
        <v>50</v>
      </c>
      <c r="I50" s="142">
        <v>527</v>
      </c>
      <c r="J50" s="355">
        <f t="shared" si="2"/>
        <v>26350</v>
      </c>
      <c r="K50" s="157"/>
      <c r="L50" s="157"/>
      <c r="M50" s="157"/>
    </row>
    <row r="51" spans="1:17" ht="21" customHeight="1" x14ac:dyDescent="0.35">
      <c r="A51" s="228" t="s">
        <v>187</v>
      </c>
      <c r="B51" s="15" t="s">
        <v>295</v>
      </c>
      <c r="C51" s="1" t="s">
        <v>180</v>
      </c>
      <c r="D51" s="222"/>
      <c r="E51" s="222">
        <v>60</v>
      </c>
      <c r="F51" s="222"/>
      <c r="G51" s="222"/>
      <c r="H51" s="141">
        <f t="shared" si="1"/>
        <v>60</v>
      </c>
      <c r="I51" s="142">
        <v>444</v>
      </c>
      <c r="J51" s="355">
        <f t="shared" si="2"/>
        <v>26640</v>
      </c>
      <c r="K51" s="157"/>
      <c r="L51" s="157"/>
      <c r="M51" s="157"/>
    </row>
    <row r="52" spans="1:17" x14ac:dyDescent="0.35">
      <c r="A52" s="228" t="s">
        <v>189</v>
      </c>
      <c r="B52" s="15" t="s">
        <v>296</v>
      </c>
      <c r="C52" s="1" t="s">
        <v>180</v>
      </c>
      <c r="D52" s="222"/>
      <c r="E52" s="222">
        <v>30</v>
      </c>
      <c r="F52" s="222"/>
      <c r="G52" s="222"/>
      <c r="H52" s="141">
        <f t="shared" si="1"/>
        <v>30</v>
      </c>
      <c r="I52" s="142">
        <v>370</v>
      </c>
      <c r="J52" s="355">
        <f t="shared" si="2"/>
        <v>11100</v>
      </c>
      <c r="K52" s="157"/>
      <c r="L52" s="157"/>
      <c r="M52" s="157"/>
    </row>
    <row r="53" spans="1:17" ht="40.5" x14ac:dyDescent="0.35">
      <c r="A53" s="139" t="s">
        <v>270</v>
      </c>
      <c r="B53" s="15" t="s">
        <v>297</v>
      </c>
      <c r="C53" s="227" t="s">
        <v>180</v>
      </c>
      <c r="D53" s="222"/>
      <c r="E53" s="222">
        <v>500</v>
      </c>
      <c r="F53" s="222"/>
      <c r="G53" s="222"/>
      <c r="H53" s="141">
        <f t="shared" si="1"/>
        <v>500</v>
      </c>
      <c r="I53" s="142">
        <v>296</v>
      </c>
      <c r="J53" s="355">
        <f t="shared" si="2"/>
        <v>148000</v>
      </c>
      <c r="K53" s="157"/>
      <c r="L53" s="157"/>
      <c r="M53" s="157"/>
    </row>
    <row r="54" spans="1:17" ht="40.5" x14ac:dyDescent="0.35">
      <c r="A54" s="139" t="s">
        <v>270</v>
      </c>
      <c r="B54" s="15" t="s">
        <v>298</v>
      </c>
      <c r="C54" s="225" t="s">
        <v>246</v>
      </c>
      <c r="D54" s="222"/>
      <c r="E54" s="222">
        <f>179+112</f>
        <v>291</v>
      </c>
      <c r="F54" s="222"/>
      <c r="G54" s="222"/>
      <c r="H54" s="141">
        <f t="shared" si="1"/>
        <v>291</v>
      </c>
      <c r="I54" s="142">
        <v>3100</v>
      </c>
      <c r="J54" s="355">
        <f t="shared" si="2"/>
        <v>902100</v>
      </c>
      <c r="K54" s="157"/>
      <c r="L54" s="157"/>
      <c r="M54" s="157"/>
    </row>
    <row r="55" spans="1:17" ht="40.5" x14ac:dyDescent="0.35">
      <c r="A55" s="139" t="s">
        <v>270</v>
      </c>
      <c r="B55" s="15" t="s">
        <v>299</v>
      </c>
      <c r="C55" s="227" t="s">
        <v>180</v>
      </c>
      <c r="D55" s="222"/>
      <c r="E55" s="222">
        <v>8</v>
      </c>
      <c r="F55" s="222"/>
      <c r="G55" s="222"/>
      <c r="H55" s="141">
        <f t="shared" si="1"/>
        <v>8</v>
      </c>
      <c r="I55" s="142">
        <v>4000</v>
      </c>
      <c r="J55" s="355">
        <f t="shared" si="2"/>
        <v>32000</v>
      </c>
      <c r="K55" s="157"/>
      <c r="L55" s="157"/>
      <c r="M55" s="157"/>
    </row>
    <row r="56" spans="1:17" x14ac:dyDescent="0.35">
      <c r="A56" s="139" t="s">
        <v>270</v>
      </c>
      <c r="B56" s="15"/>
      <c r="C56" s="225"/>
      <c r="D56" s="222"/>
      <c r="E56" s="222"/>
      <c r="F56" s="222"/>
      <c r="G56" s="222"/>
      <c r="H56" s="141">
        <f t="shared" si="1"/>
        <v>0</v>
      </c>
      <c r="I56" s="142"/>
      <c r="J56" s="200">
        <f t="shared" si="2"/>
        <v>0</v>
      </c>
      <c r="K56" s="157"/>
      <c r="L56" s="157"/>
      <c r="M56" s="157"/>
    </row>
    <row r="57" spans="1:17" x14ac:dyDescent="0.35">
      <c r="A57" s="139"/>
      <c r="B57" s="15"/>
      <c r="C57" s="225"/>
      <c r="D57" s="222"/>
      <c r="E57" s="222"/>
      <c r="F57" s="222"/>
      <c r="G57" s="222"/>
      <c r="H57" s="141">
        <f t="shared" si="1"/>
        <v>0</v>
      </c>
      <c r="I57" s="142"/>
      <c r="J57" s="200">
        <f t="shared" si="2"/>
        <v>0</v>
      </c>
      <c r="K57" s="157"/>
      <c r="L57" s="157"/>
      <c r="M57" s="157"/>
    </row>
    <row r="58" spans="1:17" ht="162" x14ac:dyDescent="0.35">
      <c r="A58" s="230">
        <v>16.79</v>
      </c>
      <c r="B58" s="15" t="s">
        <v>430</v>
      </c>
      <c r="C58" s="231" t="s">
        <v>98</v>
      </c>
      <c r="D58" s="222"/>
      <c r="E58" s="222">
        <v>403</v>
      </c>
      <c r="F58" s="222">
        <v>0.15</v>
      </c>
      <c r="G58" s="222"/>
      <c r="H58" s="141">
        <f t="shared" si="1"/>
        <v>60.449999999999996</v>
      </c>
      <c r="I58" s="142">
        <v>2803.65</v>
      </c>
      <c r="J58" s="355">
        <f t="shared" si="2"/>
        <v>169480.64249999999</v>
      </c>
      <c r="K58" s="157"/>
      <c r="L58" s="157"/>
      <c r="M58" s="157"/>
    </row>
    <row r="59" spans="1:17" s="239" customFormat="1" ht="101.25" x14ac:dyDescent="0.25">
      <c r="A59" s="233">
        <v>16.48</v>
      </c>
      <c r="B59" s="15" t="s">
        <v>431</v>
      </c>
      <c r="C59" s="231"/>
      <c r="D59" s="231"/>
      <c r="E59" s="231"/>
      <c r="F59" s="234"/>
      <c r="G59" s="232"/>
      <c r="H59" s="235"/>
      <c r="I59" s="236"/>
      <c r="J59" s="200"/>
      <c r="K59" s="237"/>
      <c r="L59" s="238"/>
      <c r="M59" s="248"/>
      <c r="Q59" s="200">
        <f>SUM(J6:J69)</f>
        <v>27721253.882499997</v>
      </c>
    </row>
    <row r="60" spans="1:17" s="239" customFormat="1" x14ac:dyDescent="0.25">
      <c r="A60" s="233" t="s">
        <v>259</v>
      </c>
      <c r="B60" s="15" t="s">
        <v>432</v>
      </c>
      <c r="C60" s="240" t="s">
        <v>433</v>
      </c>
      <c r="D60" s="231"/>
      <c r="E60" s="46">
        <v>4500</v>
      </c>
      <c r="F60" s="229">
        <v>2</v>
      </c>
      <c r="G60" s="208">
        <v>0.6</v>
      </c>
      <c r="H60" s="141">
        <f>PRODUCT(D60:G60)</f>
        <v>5400</v>
      </c>
      <c r="I60" s="142">
        <v>239.95</v>
      </c>
      <c r="J60" s="355">
        <f t="shared" ref="J60:J69" si="3">I60*H60</f>
        <v>1295730</v>
      </c>
      <c r="K60" s="237"/>
      <c r="L60" s="238"/>
      <c r="M60" s="248"/>
    </row>
    <row r="61" spans="1:17" ht="42" x14ac:dyDescent="0.35">
      <c r="A61" s="5" t="s">
        <v>75</v>
      </c>
      <c r="B61" s="33" t="s">
        <v>76</v>
      </c>
      <c r="C61" s="3" t="s">
        <v>43</v>
      </c>
      <c r="D61" s="3"/>
      <c r="E61" s="3">
        <v>403</v>
      </c>
      <c r="F61" s="3">
        <v>0.1</v>
      </c>
      <c r="G61" s="3"/>
      <c r="H61" s="141">
        <f>PRODUCT(D61:G61)</f>
        <v>40.300000000000004</v>
      </c>
      <c r="I61" s="99">
        <v>6833.4</v>
      </c>
      <c r="J61" s="355">
        <f t="shared" si="3"/>
        <v>275386.02</v>
      </c>
      <c r="K61" s="99"/>
      <c r="L61" s="157"/>
      <c r="M61" s="157"/>
    </row>
    <row r="62" spans="1:17" ht="231" x14ac:dyDescent="0.35">
      <c r="A62" s="5">
        <v>5.33</v>
      </c>
      <c r="B62" s="33" t="s">
        <v>312</v>
      </c>
      <c r="C62" s="3"/>
      <c r="D62" s="3"/>
      <c r="E62" s="3"/>
      <c r="F62" s="3"/>
      <c r="G62" s="3"/>
      <c r="H62" s="14"/>
      <c r="I62" s="40"/>
      <c r="J62" s="200">
        <f t="shared" si="3"/>
        <v>0</v>
      </c>
      <c r="K62" s="40"/>
      <c r="L62" s="157"/>
      <c r="M62" s="157"/>
    </row>
    <row r="63" spans="1:17" x14ac:dyDescent="0.35">
      <c r="A63" s="5" t="s">
        <v>100</v>
      </c>
      <c r="B63" s="33" t="s">
        <v>101</v>
      </c>
      <c r="C63" s="3"/>
      <c r="D63" s="3"/>
      <c r="E63" s="3"/>
      <c r="F63" s="3"/>
      <c r="G63" s="3"/>
      <c r="H63" s="14"/>
      <c r="I63" s="40"/>
      <c r="J63" s="200">
        <f t="shared" si="3"/>
        <v>0</v>
      </c>
      <c r="K63" s="40"/>
      <c r="L63" s="157"/>
      <c r="M63" s="157"/>
    </row>
    <row r="64" spans="1:17" ht="42" x14ac:dyDescent="0.35">
      <c r="A64" s="5" t="s">
        <v>102</v>
      </c>
      <c r="B64" s="33" t="s">
        <v>313</v>
      </c>
      <c r="C64" s="3" t="s">
        <v>43</v>
      </c>
      <c r="D64" s="3"/>
      <c r="E64" s="3"/>
      <c r="F64" s="3"/>
      <c r="G64" s="3"/>
      <c r="H64" s="141"/>
      <c r="I64" s="40">
        <v>7997.3</v>
      </c>
      <c r="J64" s="200">
        <f t="shared" si="3"/>
        <v>0</v>
      </c>
      <c r="K64" s="40"/>
      <c r="L64" s="157"/>
      <c r="M64" s="157"/>
    </row>
    <row r="65" spans="1:13" x14ac:dyDescent="0.35">
      <c r="A65" s="5" t="s">
        <v>106</v>
      </c>
      <c r="B65" s="33" t="s">
        <v>107</v>
      </c>
      <c r="C65" s="3"/>
      <c r="D65" s="3"/>
      <c r="E65" s="3"/>
      <c r="F65" s="3"/>
      <c r="G65" s="3"/>
      <c r="H65" s="141">
        <f>PRODUCT(D65:G65)</f>
        <v>0</v>
      </c>
      <c r="I65" s="99"/>
      <c r="J65" s="200">
        <f t="shared" si="3"/>
        <v>0</v>
      </c>
      <c r="K65" s="99"/>
      <c r="L65" s="157"/>
      <c r="M65" s="157"/>
    </row>
    <row r="66" spans="1:13" ht="42" x14ac:dyDescent="0.35">
      <c r="A66" s="5" t="s">
        <v>108</v>
      </c>
      <c r="B66" s="33" t="s">
        <v>313</v>
      </c>
      <c r="C66" s="3" t="s">
        <v>43</v>
      </c>
      <c r="D66" s="3"/>
      <c r="E66" s="3">
        <v>403</v>
      </c>
      <c r="F66" s="3">
        <v>0.2</v>
      </c>
      <c r="G66" s="3"/>
      <c r="H66" s="141">
        <f>PRODUCT(D66:G66)</f>
        <v>80.600000000000009</v>
      </c>
      <c r="I66" s="99">
        <v>10080.15</v>
      </c>
      <c r="J66" s="355">
        <f t="shared" si="3"/>
        <v>812460.09000000008</v>
      </c>
      <c r="K66" s="99"/>
      <c r="L66" s="157"/>
      <c r="M66" s="157"/>
    </row>
    <row r="67" spans="1:13" ht="63" x14ac:dyDescent="0.35">
      <c r="A67" s="33">
        <v>10.25</v>
      </c>
      <c r="B67" s="33" t="s">
        <v>434</v>
      </c>
      <c r="C67" s="3"/>
      <c r="D67" s="3"/>
      <c r="E67" s="3"/>
      <c r="F67" s="3"/>
      <c r="G67" s="3"/>
      <c r="H67" s="141"/>
      <c r="I67" s="99"/>
      <c r="J67" s="200">
        <f t="shared" si="3"/>
        <v>0</v>
      </c>
      <c r="K67" s="99"/>
      <c r="L67" s="157"/>
      <c r="M67" s="157"/>
    </row>
    <row r="68" spans="1:13" ht="42" x14ac:dyDescent="0.35">
      <c r="A68" s="5" t="s">
        <v>231</v>
      </c>
      <c r="B68" s="33" t="s">
        <v>232</v>
      </c>
      <c r="C68" s="3" t="s">
        <v>112</v>
      </c>
      <c r="D68" s="3"/>
      <c r="E68" s="3"/>
      <c r="F68" s="3"/>
      <c r="G68" s="3"/>
      <c r="H68" s="141"/>
      <c r="I68" s="200">
        <v>102.25</v>
      </c>
      <c r="J68" s="200">
        <f t="shared" si="3"/>
        <v>0</v>
      </c>
      <c r="K68" s="99"/>
      <c r="L68" s="157"/>
      <c r="M68" s="157"/>
    </row>
    <row r="69" spans="1:13" ht="42" x14ac:dyDescent="0.35">
      <c r="A69" s="5" t="s">
        <v>233</v>
      </c>
      <c r="B69" s="33" t="s">
        <v>234</v>
      </c>
      <c r="C69" s="3" t="s">
        <v>112</v>
      </c>
      <c r="D69" s="3"/>
      <c r="E69" s="3"/>
      <c r="F69" s="3"/>
      <c r="G69" s="3"/>
      <c r="H69" s="141">
        <v>10000</v>
      </c>
      <c r="I69" s="200">
        <v>142.30000000000001</v>
      </c>
      <c r="J69" s="355">
        <f t="shared" si="3"/>
        <v>1423000</v>
      </c>
      <c r="K69" s="99"/>
      <c r="L69" s="157"/>
      <c r="M69" s="157"/>
    </row>
    <row r="70" spans="1:13" x14ac:dyDescent="0.35">
      <c r="A70" s="5"/>
      <c r="B70" s="585" t="s">
        <v>435</v>
      </c>
      <c r="C70" s="586"/>
      <c r="D70" s="586"/>
      <c r="E70" s="586"/>
      <c r="F70" s="586"/>
      <c r="G70" s="586"/>
      <c r="H70" s="586"/>
      <c r="I70" s="586"/>
      <c r="J70" s="326"/>
      <c r="K70" s="327"/>
      <c r="L70" s="328"/>
      <c r="M70" s="328"/>
    </row>
    <row r="71" spans="1:13" s="7" customFormat="1" ht="45" x14ac:dyDescent="0.2">
      <c r="A71" s="64" t="s">
        <v>17</v>
      </c>
      <c r="B71" s="18" t="s">
        <v>18</v>
      </c>
      <c r="C71" s="19" t="s">
        <v>19</v>
      </c>
      <c r="D71" s="20" t="s">
        <v>180</v>
      </c>
      <c r="E71" s="20" t="s">
        <v>302</v>
      </c>
      <c r="F71" s="20" t="s">
        <v>303</v>
      </c>
      <c r="G71" s="20" t="s">
        <v>304</v>
      </c>
      <c r="H71" s="21" t="s">
        <v>305</v>
      </c>
      <c r="I71" s="168" t="s">
        <v>37</v>
      </c>
      <c r="J71" s="163" t="s">
        <v>38</v>
      </c>
      <c r="K71" s="249" t="s">
        <v>39</v>
      </c>
      <c r="L71" s="26" t="s">
        <v>40</v>
      </c>
      <c r="M71" s="6"/>
    </row>
    <row r="72" spans="1:13" s="7" customFormat="1" ht="22.5" x14ac:dyDescent="0.2">
      <c r="A72" s="65"/>
      <c r="B72" s="25"/>
      <c r="C72" s="20"/>
      <c r="D72" s="20"/>
      <c r="E72" s="20"/>
      <c r="F72" s="20"/>
      <c r="G72" s="20"/>
      <c r="H72" s="26"/>
      <c r="I72" s="169"/>
      <c r="J72" s="164"/>
      <c r="K72" s="6"/>
      <c r="L72" s="6"/>
      <c r="M72" s="6"/>
    </row>
    <row r="73" spans="1:13" s="7" customFormat="1" ht="105" x14ac:dyDescent="0.2">
      <c r="A73" s="5">
        <v>2.6</v>
      </c>
      <c r="B73" s="41" t="s">
        <v>41</v>
      </c>
      <c r="C73" s="12"/>
      <c r="D73" s="12"/>
      <c r="E73" s="12"/>
      <c r="F73" s="12"/>
      <c r="G73" s="12"/>
      <c r="H73" s="13"/>
      <c r="I73" s="14"/>
      <c r="J73" s="14"/>
      <c r="K73" s="6"/>
      <c r="L73" s="6"/>
      <c r="M73" s="6"/>
    </row>
    <row r="74" spans="1:13" s="7" customFormat="1" x14ac:dyDescent="0.2">
      <c r="A74" s="5"/>
      <c r="B74" s="41"/>
      <c r="C74" s="12" t="s">
        <v>43</v>
      </c>
      <c r="D74" s="12"/>
      <c r="E74" s="12"/>
      <c r="F74" s="12"/>
      <c r="G74" s="12" t="s">
        <v>309</v>
      </c>
      <c r="H74" s="13"/>
      <c r="I74" s="14">
        <v>205.45</v>
      </c>
      <c r="J74" s="14">
        <f>I74*H74</f>
        <v>0</v>
      </c>
      <c r="K74" s="6"/>
      <c r="L74" s="6"/>
      <c r="M74" s="6"/>
    </row>
    <row r="75" spans="1:13" s="7" customFormat="1" ht="40.5" x14ac:dyDescent="0.2">
      <c r="A75" s="82">
        <v>2.2599999999999998</v>
      </c>
      <c r="B75" s="263" t="s">
        <v>47</v>
      </c>
      <c r="C75" s="264"/>
      <c r="D75" s="13"/>
      <c r="E75" s="13"/>
      <c r="F75" s="13"/>
      <c r="G75" s="265"/>
      <c r="H75" s="13"/>
      <c r="I75" s="14"/>
      <c r="J75" s="14"/>
      <c r="K75" s="6"/>
      <c r="L75" s="6"/>
      <c r="M75" s="6"/>
    </row>
    <row r="76" spans="1:13" s="7" customFormat="1" ht="20.25" x14ac:dyDescent="0.2">
      <c r="A76" s="82" t="s">
        <v>48</v>
      </c>
      <c r="B76" s="263" t="s">
        <v>49</v>
      </c>
      <c r="C76" s="264" t="s">
        <v>50</v>
      </c>
      <c r="D76" s="13"/>
      <c r="E76" s="13"/>
      <c r="F76" s="13"/>
      <c r="G76" s="12" t="s">
        <v>309</v>
      </c>
      <c r="H76" s="13"/>
      <c r="I76" s="184">
        <v>104.5</v>
      </c>
      <c r="J76" s="14">
        <f>I76*H76</f>
        <v>0</v>
      </c>
      <c r="K76" s="6"/>
      <c r="L76" s="6"/>
      <c r="M76" s="6"/>
    </row>
    <row r="77" spans="1:13" s="7" customFormat="1" ht="20.25" x14ac:dyDescent="0.2">
      <c r="A77" s="82" t="s">
        <v>51</v>
      </c>
      <c r="B77" s="263" t="s">
        <v>52</v>
      </c>
      <c r="C77" s="264" t="s">
        <v>50</v>
      </c>
      <c r="D77" s="13"/>
      <c r="E77" s="13"/>
      <c r="F77" s="13"/>
      <c r="G77" s="265"/>
      <c r="H77" s="13"/>
      <c r="I77" s="184">
        <v>187.4</v>
      </c>
      <c r="J77" s="14">
        <f>I77*H77</f>
        <v>0</v>
      </c>
      <c r="K77" s="6"/>
      <c r="L77" s="6"/>
      <c r="M77" s="6"/>
    </row>
    <row r="78" spans="1:13" s="7" customFormat="1" ht="84" x14ac:dyDescent="0.2">
      <c r="A78" s="5">
        <v>2.7</v>
      </c>
      <c r="B78" s="41" t="s">
        <v>44</v>
      </c>
      <c r="C78" s="12"/>
      <c r="D78" s="12"/>
      <c r="E78" s="12"/>
      <c r="F78" s="12"/>
      <c r="G78" s="12"/>
      <c r="H78" s="13"/>
      <c r="I78" s="14"/>
      <c r="J78" s="14">
        <f>I78*H78</f>
        <v>0</v>
      </c>
      <c r="K78" s="6"/>
      <c r="L78" s="6"/>
      <c r="M78" s="6"/>
    </row>
    <row r="79" spans="1:13" s="7" customFormat="1" x14ac:dyDescent="0.2">
      <c r="A79" s="5" t="s">
        <v>45</v>
      </c>
      <c r="B79" s="41" t="s">
        <v>46</v>
      </c>
      <c r="C79" s="12" t="s">
        <v>43</v>
      </c>
      <c r="D79" s="12"/>
      <c r="E79" s="12"/>
      <c r="F79" s="12"/>
      <c r="G79" s="336" t="s">
        <v>309</v>
      </c>
      <c r="H79" s="337">
        <f>SUM(H80:H83)</f>
        <v>2895.36</v>
      </c>
      <c r="I79" s="14">
        <v>412.95</v>
      </c>
      <c r="J79" s="337">
        <f>I79*H79</f>
        <v>1195638.912</v>
      </c>
      <c r="K79" s="6"/>
      <c r="L79" s="6"/>
      <c r="M79" s="6"/>
    </row>
    <row r="80" spans="1:13" s="7" customFormat="1" x14ac:dyDescent="0.2">
      <c r="A80" s="5"/>
      <c r="B80" s="41" t="s">
        <v>436</v>
      </c>
      <c r="C80" s="266"/>
      <c r="D80" s="13"/>
      <c r="E80" s="13"/>
      <c r="F80" s="13"/>
      <c r="G80" s="265"/>
      <c r="H80" s="13"/>
      <c r="I80" s="14"/>
      <c r="J80" s="14"/>
      <c r="K80" s="6"/>
      <c r="L80" s="6"/>
      <c r="M80" s="6"/>
    </row>
    <row r="81" spans="1:17" s="7" customFormat="1" x14ac:dyDescent="0.2">
      <c r="A81" s="5"/>
      <c r="B81" s="267" t="s">
        <v>381</v>
      </c>
      <c r="C81" s="266"/>
      <c r="D81" s="13">
        <v>1</v>
      </c>
      <c r="E81" s="13">
        <f>179+65+32+88+112</f>
        <v>476</v>
      </c>
      <c r="F81" s="13">
        <f>1+0.6</f>
        <v>1.6</v>
      </c>
      <c r="G81" s="265">
        <f>2</f>
        <v>2</v>
      </c>
      <c r="H81" s="13">
        <f>PRODUCT(D81:G81)</f>
        <v>1523.2</v>
      </c>
      <c r="I81" s="14"/>
      <c r="J81" s="14"/>
      <c r="K81" s="6"/>
      <c r="L81" s="6"/>
      <c r="M81" s="6"/>
    </row>
    <row r="82" spans="1:17" s="7" customFormat="1" x14ac:dyDescent="0.2">
      <c r="A82" s="5"/>
      <c r="B82" s="267" t="s">
        <v>437</v>
      </c>
      <c r="C82" s="266"/>
      <c r="D82" s="13">
        <v>1</v>
      </c>
      <c r="E82" s="13">
        <f>230+134+180</f>
        <v>544</v>
      </c>
      <c r="F82" s="13">
        <f>0.6+0.6</f>
        <v>1.2</v>
      </c>
      <c r="G82" s="265">
        <v>1.2</v>
      </c>
      <c r="H82" s="13">
        <f>PRODUCT(D82:G82)</f>
        <v>783.3599999999999</v>
      </c>
      <c r="I82" s="14"/>
      <c r="J82" s="14"/>
      <c r="K82" s="6"/>
      <c r="L82" s="6"/>
      <c r="M82" s="6"/>
      <c r="O82" s="337">
        <f>J79+J158</f>
        <v>1608588.912</v>
      </c>
      <c r="Q82" s="14"/>
    </row>
    <row r="83" spans="1:17" s="7" customFormat="1" x14ac:dyDescent="0.2">
      <c r="A83" s="5"/>
      <c r="B83" s="41" t="s">
        <v>438</v>
      </c>
      <c r="C83" s="12"/>
      <c r="D83" s="13">
        <v>1</v>
      </c>
      <c r="E83" s="268">
        <f>32+32+22+50+48</f>
        <v>184</v>
      </c>
      <c r="F83" s="13">
        <f>1+0.6</f>
        <v>1.6</v>
      </c>
      <c r="G83" s="265">
        <f>2</f>
        <v>2</v>
      </c>
      <c r="H83" s="13">
        <f>PRODUCT(D83:G83)</f>
        <v>588.80000000000007</v>
      </c>
      <c r="I83" s="14"/>
      <c r="J83" s="14"/>
      <c r="K83" s="6"/>
      <c r="L83" s="6"/>
      <c r="M83" s="6"/>
      <c r="O83" s="14">
        <f>J159+J89</f>
        <v>907495.40399999998</v>
      </c>
      <c r="Q83" s="14">
        <f>SUM(J74:J160)</f>
        <v>35812217.223200008</v>
      </c>
    </row>
    <row r="84" spans="1:17" s="7" customFormat="1" ht="40.5" x14ac:dyDescent="0.2">
      <c r="A84" s="29">
        <v>2.2599999999999998</v>
      </c>
      <c r="B84" s="30" t="s">
        <v>47</v>
      </c>
      <c r="C84" s="31"/>
      <c r="D84" s="13"/>
      <c r="E84" s="13"/>
      <c r="F84" s="13"/>
      <c r="G84" s="265"/>
      <c r="H84" s="13"/>
      <c r="I84" s="14"/>
      <c r="J84" s="14">
        <f>I84*H84</f>
        <v>0</v>
      </c>
      <c r="K84" s="6"/>
      <c r="L84" s="6"/>
      <c r="M84" s="6"/>
      <c r="O84" s="14"/>
      <c r="Q84" s="14">
        <f>SUM(J158:J160)</f>
        <v>7063925</v>
      </c>
    </row>
    <row r="85" spans="1:17" s="7" customFormat="1" ht="20.25" x14ac:dyDescent="0.2">
      <c r="A85" s="82" t="s">
        <v>51</v>
      </c>
      <c r="B85" s="263" t="s">
        <v>52</v>
      </c>
      <c r="C85" s="340" t="s">
        <v>50</v>
      </c>
      <c r="D85" s="340"/>
      <c r="E85" s="340"/>
      <c r="F85" s="340"/>
      <c r="G85" s="341" t="s">
        <v>309</v>
      </c>
      <c r="H85" s="342">
        <f>SUM(H86:H88)</f>
        <v>528</v>
      </c>
      <c r="I85" s="343">
        <v>187.4</v>
      </c>
      <c r="J85" s="337">
        <f>I85*H85</f>
        <v>98947.199999999997</v>
      </c>
      <c r="K85" s="6"/>
      <c r="L85" s="6"/>
      <c r="M85" s="6"/>
      <c r="O85" s="14"/>
      <c r="Q85" s="14"/>
    </row>
    <row r="86" spans="1:17" s="7" customFormat="1" x14ac:dyDescent="0.2">
      <c r="A86" s="82"/>
      <c r="B86" s="83" t="str">
        <f>B80</f>
        <v xml:space="preserve">ROAD SIDE </v>
      </c>
      <c r="C86" s="84"/>
      <c r="D86" s="13"/>
      <c r="E86" s="13"/>
      <c r="F86" s="13"/>
      <c r="G86" s="338"/>
      <c r="H86" s="337"/>
      <c r="I86" s="184"/>
      <c r="J86" s="14"/>
      <c r="K86" s="6"/>
      <c r="L86" s="6"/>
      <c r="M86" s="6"/>
      <c r="Q86" s="14">
        <f>Q83+Q84</f>
        <v>42876142.223200008</v>
      </c>
    </row>
    <row r="87" spans="1:17" s="7" customFormat="1" x14ac:dyDescent="0.2">
      <c r="A87" s="82"/>
      <c r="B87" s="83" t="str">
        <f>B81</f>
        <v xml:space="preserve">RAFT </v>
      </c>
      <c r="C87" s="84"/>
      <c r="D87" s="13">
        <f>D81</f>
        <v>1</v>
      </c>
      <c r="E87" s="13">
        <f>E81</f>
        <v>476</v>
      </c>
      <c r="F87" s="13">
        <f>F81</f>
        <v>1.6</v>
      </c>
      <c r="G87" s="265">
        <v>0.5</v>
      </c>
      <c r="H87" s="13">
        <f>PRODUCT(D87:G87)</f>
        <v>380.8</v>
      </c>
      <c r="I87" s="184"/>
      <c r="J87" s="14"/>
      <c r="K87" s="6"/>
      <c r="L87" s="6"/>
      <c r="M87" s="6"/>
      <c r="Q87" s="14"/>
    </row>
    <row r="88" spans="1:17" s="7" customFormat="1" ht="20.25" x14ac:dyDescent="0.2">
      <c r="A88" s="29"/>
      <c r="B88" s="30"/>
      <c r="C88" s="31"/>
      <c r="D88" s="13"/>
      <c r="E88" s="13">
        <f>E83</f>
        <v>184</v>
      </c>
      <c r="F88" s="13">
        <f>F83</f>
        <v>1.6</v>
      </c>
      <c r="G88" s="265">
        <v>0.5</v>
      </c>
      <c r="H88" s="13">
        <f>PRODUCT(D88:G88)</f>
        <v>147.20000000000002</v>
      </c>
      <c r="I88" s="173"/>
      <c r="J88" s="14"/>
      <c r="K88" s="6"/>
      <c r="L88" s="6"/>
      <c r="M88" s="6"/>
      <c r="Q88" s="14">
        <f>Q59+Q86</f>
        <v>70597396.105700001</v>
      </c>
    </row>
    <row r="89" spans="1:17" s="7" customFormat="1" ht="63" x14ac:dyDescent="0.2">
      <c r="A89" s="5">
        <v>2.25</v>
      </c>
      <c r="B89" s="41" t="s">
        <v>59</v>
      </c>
      <c r="C89" s="12" t="s">
        <v>60</v>
      </c>
      <c r="D89" s="12"/>
      <c r="E89" s="12"/>
      <c r="F89" s="12"/>
      <c r="G89" s="12" t="s">
        <v>309</v>
      </c>
      <c r="H89" s="337">
        <f>SUM(H91:H93)</f>
        <v>3073.52</v>
      </c>
      <c r="I89" s="14">
        <v>253.95</v>
      </c>
      <c r="J89" s="337">
        <f>I89*H89</f>
        <v>780520.40399999998</v>
      </c>
      <c r="K89" s="6"/>
      <c r="L89" s="6"/>
      <c r="M89" s="6"/>
    </row>
    <row r="90" spans="1:17" s="7" customFormat="1" x14ac:dyDescent="0.2">
      <c r="A90" s="5"/>
      <c r="B90" s="41"/>
      <c r="C90" s="12" t="s">
        <v>60</v>
      </c>
      <c r="D90" s="12"/>
      <c r="E90" s="12"/>
      <c r="F90" s="12"/>
      <c r="G90" s="12"/>
      <c r="H90"/>
      <c r="I90" s="14"/>
      <c r="J90" s="14"/>
      <c r="K90" s="6"/>
      <c r="L90" s="6"/>
      <c r="M90" s="6"/>
    </row>
    <row r="91" spans="1:17" s="7" customFormat="1" x14ac:dyDescent="0.2">
      <c r="A91" s="5"/>
      <c r="B91" s="41"/>
      <c r="C91" s="12"/>
      <c r="D91" s="12"/>
      <c r="E91" s="12"/>
      <c r="F91" s="12"/>
      <c r="G91" s="13">
        <f>H79+H85</f>
        <v>3423.36</v>
      </c>
      <c r="H91" s="13">
        <f>PRODUCT(G91)</f>
        <v>3423.36</v>
      </c>
      <c r="I91" s="14"/>
      <c r="J91" s="14"/>
      <c r="K91" s="6"/>
      <c r="L91" s="6"/>
      <c r="M91" s="6"/>
    </row>
    <row r="92" spans="1:17" s="7" customFormat="1" x14ac:dyDescent="0.2">
      <c r="A92" s="5"/>
      <c r="B92" s="41" t="s">
        <v>337</v>
      </c>
      <c r="C92" s="12"/>
      <c r="D92" s="12"/>
      <c r="E92" s="12"/>
      <c r="F92" s="12"/>
      <c r="G92" s="13">
        <f>-H104</f>
        <v>-111.83999999999999</v>
      </c>
      <c r="H92" s="13">
        <f>PRODUCT(G92)</f>
        <v>-111.83999999999999</v>
      </c>
      <c r="I92" s="14"/>
      <c r="J92" s="14"/>
      <c r="K92" s="6"/>
      <c r="L92" s="6"/>
      <c r="M92" s="6"/>
    </row>
    <row r="93" spans="1:17" s="7" customFormat="1" x14ac:dyDescent="0.2">
      <c r="A93" s="5"/>
      <c r="B93" s="41" t="s">
        <v>338</v>
      </c>
      <c r="C93" s="12"/>
      <c r="D93" s="12"/>
      <c r="E93" s="12"/>
      <c r="F93" s="12"/>
      <c r="G93" s="13">
        <f>-SUM(H110:H111)</f>
        <v>-238</v>
      </c>
      <c r="H93" s="13">
        <f>PRODUCT(G93)</f>
        <v>-238</v>
      </c>
      <c r="I93" s="14"/>
      <c r="J93" s="14"/>
      <c r="K93" s="6"/>
      <c r="L93" s="6"/>
      <c r="M93" s="6"/>
    </row>
    <row r="94" spans="1:17" s="7" customFormat="1" x14ac:dyDescent="0.2">
      <c r="A94" s="5"/>
      <c r="B94" s="269"/>
      <c r="C94" s="9"/>
      <c r="D94" s="9"/>
      <c r="E94" s="9"/>
      <c r="F94" s="9"/>
      <c r="G94" s="9"/>
      <c r="H94" s="270"/>
      <c r="I94" s="14"/>
      <c r="J94" s="14"/>
      <c r="K94" s="6"/>
      <c r="L94" s="6"/>
      <c r="M94" s="6"/>
    </row>
    <row r="95" spans="1:17" s="7" customFormat="1" ht="63" x14ac:dyDescent="0.2">
      <c r="A95" s="5">
        <v>1.1000000000000001</v>
      </c>
      <c r="B95" s="41" t="s">
        <v>61</v>
      </c>
      <c r="C95" s="9"/>
      <c r="D95" s="9"/>
      <c r="E95" s="9"/>
      <c r="F95" s="9"/>
      <c r="G95" s="9"/>
      <c r="H95" s="13"/>
      <c r="I95" s="14"/>
      <c r="J95" s="14">
        <f t="shared" ref="J95:J104" si="4">I95*H95</f>
        <v>0</v>
      </c>
      <c r="K95" s="6"/>
      <c r="L95" s="6"/>
      <c r="M95" s="6"/>
    </row>
    <row r="96" spans="1:17" s="7" customFormat="1" x14ac:dyDescent="0.2">
      <c r="A96" s="5" t="s">
        <v>62</v>
      </c>
      <c r="B96" s="344" t="s">
        <v>63</v>
      </c>
      <c r="C96" s="345" t="s">
        <v>60</v>
      </c>
      <c r="D96" s="345"/>
      <c r="E96" s="345"/>
      <c r="F96" s="345"/>
      <c r="G96" s="345" t="s">
        <v>309</v>
      </c>
      <c r="H96" s="342"/>
      <c r="I96" s="14">
        <v>271.45</v>
      </c>
      <c r="J96" s="14">
        <f t="shared" si="4"/>
        <v>0</v>
      </c>
      <c r="K96" s="6"/>
      <c r="L96" s="6"/>
      <c r="M96" s="6"/>
    </row>
    <row r="97" spans="1:13" s="7" customFormat="1" x14ac:dyDescent="0.2">
      <c r="A97" s="5" t="s">
        <v>64</v>
      </c>
      <c r="B97" s="41" t="s">
        <v>65</v>
      </c>
      <c r="C97" s="12" t="s">
        <v>60</v>
      </c>
      <c r="D97" s="12"/>
      <c r="E97" s="12"/>
      <c r="F97" s="12"/>
      <c r="G97" s="12"/>
      <c r="H97" s="13">
        <f>H79</f>
        <v>2895.36</v>
      </c>
      <c r="I97" s="14">
        <v>434.32</v>
      </c>
      <c r="J97" s="337">
        <f t="shared" si="4"/>
        <v>1257512.7552</v>
      </c>
      <c r="K97" s="6"/>
      <c r="L97" s="6"/>
      <c r="M97" s="6"/>
    </row>
    <row r="98" spans="1:13" s="7" customFormat="1" x14ac:dyDescent="0.2">
      <c r="A98" s="32">
        <v>982</v>
      </c>
      <c r="B98" s="41" t="s">
        <v>68</v>
      </c>
      <c r="C98" s="12" t="s">
        <v>60</v>
      </c>
      <c r="D98" s="12"/>
      <c r="E98" s="12"/>
      <c r="F98" s="12"/>
      <c r="G98" s="12"/>
      <c r="H98" s="13"/>
      <c r="I98" s="14">
        <v>1500</v>
      </c>
      <c r="J98" s="14">
        <f t="shared" si="4"/>
        <v>0</v>
      </c>
      <c r="K98" s="6"/>
      <c r="L98" s="6"/>
      <c r="M98" s="6"/>
    </row>
    <row r="99" spans="1:13" s="7" customFormat="1" x14ac:dyDescent="0.2">
      <c r="A99" s="5"/>
      <c r="B99" s="41" t="s">
        <v>69</v>
      </c>
      <c r="C99" s="12"/>
      <c r="D99" s="12"/>
      <c r="E99" s="12"/>
      <c r="F99" s="12"/>
      <c r="G99" s="12"/>
      <c r="H99" s="13"/>
      <c r="I99" s="14"/>
      <c r="J99" s="14">
        <f t="shared" si="4"/>
        <v>0</v>
      </c>
      <c r="K99" s="6"/>
      <c r="L99" s="6"/>
      <c r="M99" s="6"/>
    </row>
    <row r="100" spans="1:13" s="7" customFormat="1" ht="41.25" customHeight="1" x14ac:dyDescent="0.2">
      <c r="A100" s="5" t="s">
        <v>70</v>
      </c>
      <c r="B100" s="572" t="s">
        <v>71</v>
      </c>
      <c r="C100" s="13"/>
      <c r="D100" s="13"/>
      <c r="E100" s="13"/>
      <c r="F100" s="13"/>
      <c r="G100" s="13"/>
      <c r="H100" s="13"/>
      <c r="I100" s="14"/>
      <c r="J100" s="14">
        <f t="shared" si="4"/>
        <v>0</v>
      </c>
      <c r="K100" s="6"/>
      <c r="L100" s="6"/>
      <c r="M100" s="6"/>
    </row>
    <row r="101" spans="1:13" s="7" customFormat="1" x14ac:dyDescent="0.2">
      <c r="A101" s="5"/>
      <c r="B101" s="572"/>
      <c r="C101" s="13"/>
      <c r="D101" s="13"/>
      <c r="E101" s="13"/>
      <c r="F101" s="13"/>
      <c r="G101" s="13"/>
      <c r="H101" s="13"/>
      <c r="I101" s="14"/>
      <c r="J101" s="14">
        <f t="shared" si="4"/>
        <v>0</v>
      </c>
      <c r="K101" s="6"/>
      <c r="L101" s="6"/>
      <c r="M101" s="6"/>
    </row>
    <row r="102" spans="1:13" s="7" customFormat="1" x14ac:dyDescent="0.2">
      <c r="A102" s="5"/>
      <c r="B102" s="41" t="s">
        <v>72</v>
      </c>
      <c r="C102" s="12" t="s">
        <v>73</v>
      </c>
      <c r="D102" s="12"/>
      <c r="E102" s="12"/>
      <c r="F102" s="12"/>
      <c r="G102" s="12" t="s">
        <v>309</v>
      </c>
      <c r="H102" s="13">
        <v>50</v>
      </c>
      <c r="I102" s="14">
        <v>53</v>
      </c>
      <c r="J102" s="14">
        <f t="shared" si="4"/>
        <v>2650</v>
      </c>
      <c r="K102" s="6"/>
      <c r="L102" s="6"/>
      <c r="M102" s="6"/>
    </row>
    <row r="103" spans="1:13" s="7" customFormat="1" ht="42" x14ac:dyDescent="0.2">
      <c r="A103" s="5">
        <v>4.0999999999999996</v>
      </c>
      <c r="B103" s="41" t="s">
        <v>74</v>
      </c>
      <c r="C103" s="12"/>
      <c r="D103" s="12"/>
      <c r="E103" s="12"/>
      <c r="F103" s="12"/>
      <c r="G103" s="12"/>
      <c r="H103" s="13"/>
      <c r="I103" s="14"/>
      <c r="J103" s="14">
        <f t="shared" si="4"/>
        <v>0</v>
      </c>
      <c r="K103" s="6"/>
      <c r="L103" s="6"/>
      <c r="M103" s="6"/>
    </row>
    <row r="104" spans="1:13" s="7" customFormat="1" ht="42" x14ac:dyDescent="0.2">
      <c r="A104" s="5" t="s">
        <v>75</v>
      </c>
      <c r="B104" s="41" t="s">
        <v>76</v>
      </c>
      <c r="C104" s="12" t="s">
        <v>43</v>
      </c>
      <c r="D104" s="12"/>
      <c r="E104" s="12"/>
      <c r="F104" s="12"/>
      <c r="G104" s="12" t="s">
        <v>309</v>
      </c>
      <c r="H104" s="337">
        <f>SUM(H105:H108)</f>
        <v>111.83999999999999</v>
      </c>
      <c r="I104" s="14">
        <v>6833.4</v>
      </c>
      <c r="J104" s="337">
        <f t="shared" si="4"/>
        <v>764247.45599999989</v>
      </c>
      <c r="K104" s="6"/>
      <c r="L104" s="6"/>
      <c r="M104" s="6"/>
    </row>
    <row r="105" spans="1:13" s="7" customFormat="1" x14ac:dyDescent="0.2">
      <c r="A105" s="5"/>
      <c r="B105" s="13" t="str">
        <f>B80</f>
        <v xml:space="preserve">ROAD SIDE </v>
      </c>
      <c r="C105" s="12"/>
      <c r="D105" s="13"/>
      <c r="E105" s="13"/>
      <c r="F105" s="13"/>
      <c r="G105" s="13"/>
      <c r="H105" s="13"/>
      <c r="I105" s="14"/>
      <c r="J105" s="14"/>
      <c r="K105" s="6"/>
      <c r="L105" s="6"/>
      <c r="M105" s="6"/>
    </row>
    <row r="106" spans="1:13" s="7" customFormat="1" x14ac:dyDescent="0.2">
      <c r="A106" s="5"/>
      <c r="B106" s="267" t="str">
        <f>B81</f>
        <v xml:space="preserve">RAFT </v>
      </c>
      <c r="C106" s="12"/>
      <c r="D106" s="13">
        <f t="shared" ref="D106:E108" si="5">D81</f>
        <v>1</v>
      </c>
      <c r="E106" s="13">
        <f t="shared" si="5"/>
        <v>476</v>
      </c>
      <c r="F106" s="13">
        <f>F81-0.6+0.2</f>
        <v>1.2</v>
      </c>
      <c r="G106" s="13">
        <v>0.1</v>
      </c>
      <c r="H106" s="13">
        <f>PRODUCT(D106:G106)</f>
        <v>57.12</v>
      </c>
      <c r="I106" s="14"/>
      <c r="J106" s="14"/>
      <c r="K106" s="6"/>
      <c r="L106" s="6"/>
      <c r="M106" s="6"/>
    </row>
    <row r="107" spans="1:13" s="7" customFormat="1" x14ac:dyDescent="0.2">
      <c r="A107" s="5"/>
      <c r="B107" s="267" t="str">
        <f>B82</f>
        <v xml:space="preserve">DRAIN </v>
      </c>
      <c r="C107" s="12"/>
      <c r="D107" s="13">
        <f t="shared" si="5"/>
        <v>1</v>
      </c>
      <c r="E107" s="13">
        <f t="shared" si="5"/>
        <v>544</v>
      </c>
      <c r="F107" s="13">
        <f>F82-0.6+0.2</f>
        <v>0.8</v>
      </c>
      <c r="G107" s="268">
        <v>7.4999999999999997E-2</v>
      </c>
      <c r="H107" s="13">
        <f>PRODUCT(D107:G107)</f>
        <v>32.64</v>
      </c>
      <c r="I107" s="14"/>
      <c r="J107" s="14"/>
      <c r="K107" s="6"/>
      <c r="L107" s="6"/>
      <c r="M107" s="6"/>
    </row>
    <row r="108" spans="1:13" s="7" customFormat="1" x14ac:dyDescent="0.2">
      <c r="A108" s="5"/>
      <c r="B108" s="267" t="str">
        <f>B83</f>
        <v xml:space="preserve">wall panel room periferi </v>
      </c>
      <c r="C108" s="12"/>
      <c r="D108" s="13">
        <f t="shared" si="5"/>
        <v>1</v>
      </c>
      <c r="E108" s="13">
        <f t="shared" si="5"/>
        <v>184</v>
      </c>
      <c r="F108" s="13">
        <f>F83-0.6+0.2</f>
        <v>1.2</v>
      </c>
      <c r="G108" s="268">
        <v>0.1</v>
      </c>
      <c r="H108" s="13">
        <f>PRODUCT(D108:G108)</f>
        <v>22.08</v>
      </c>
      <c r="I108" s="14"/>
      <c r="J108" s="14"/>
      <c r="K108" s="6"/>
      <c r="L108" s="6"/>
      <c r="M108" s="6"/>
    </row>
    <row r="109" spans="1:13" s="7" customFormat="1" ht="63" x14ac:dyDescent="0.2">
      <c r="A109" s="5" t="s">
        <v>81</v>
      </c>
      <c r="B109" s="41" t="s">
        <v>310</v>
      </c>
      <c r="C109" s="12" t="s">
        <v>73</v>
      </c>
      <c r="D109" s="12"/>
      <c r="E109" s="12"/>
      <c r="F109" s="12"/>
      <c r="G109" s="12" t="s">
        <v>309</v>
      </c>
      <c r="H109" s="337">
        <f>SUM(H110:H111)</f>
        <v>238</v>
      </c>
      <c r="I109" s="14">
        <v>307.95</v>
      </c>
      <c r="J109" s="337">
        <f>I109*H109</f>
        <v>73292.099999999991</v>
      </c>
      <c r="K109" s="6"/>
      <c r="L109" s="6"/>
      <c r="M109" s="6"/>
    </row>
    <row r="110" spans="1:13" s="7" customFormat="1" x14ac:dyDescent="0.2">
      <c r="A110" s="5"/>
      <c r="B110" s="267" t="str">
        <f>B122</f>
        <v xml:space="preserve">ROAD SIDE </v>
      </c>
      <c r="C110" s="12"/>
      <c r="D110" s="12"/>
      <c r="E110" s="12"/>
      <c r="F110" s="12"/>
      <c r="G110" s="12"/>
      <c r="H110" s="13"/>
      <c r="I110" s="14"/>
      <c r="J110" s="14"/>
      <c r="K110" s="6"/>
      <c r="L110" s="6"/>
      <c r="M110" s="6"/>
    </row>
    <row r="111" spans="1:13" s="7" customFormat="1" x14ac:dyDescent="0.2">
      <c r="A111" s="5"/>
      <c r="B111" s="267" t="str">
        <f>B123</f>
        <v xml:space="preserve">RAFT </v>
      </c>
      <c r="C111" s="12"/>
      <c r="D111" s="12">
        <f>D123</f>
        <v>1</v>
      </c>
      <c r="E111" s="12">
        <f>E123</f>
        <v>476</v>
      </c>
      <c r="F111" s="12">
        <v>2</v>
      </c>
      <c r="G111" s="12">
        <f>G123</f>
        <v>0.25</v>
      </c>
      <c r="H111" s="13">
        <f>PRODUCT(D111:G111)</f>
        <v>238</v>
      </c>
      <c r="I111" s="14"/>
      <c r="J111" s="14"/>
      <c r="K111" s="6"/>
      <c r="L111" s="6"/>
      <c r="M111" s="6"/>
    </row>
    <row r="112" spans="1:13" s="7" customFormat="1" x14ac:dyDescent="0.2">
      <c r="A112" s="5"/>
      <c r="B112" s="267" t="str">
        <f>B124</f>
        <v xml:space="preserve">DRAIN </v>
      </c>
      <c r="C112" s="12"/>
      <c r="D112" s="12">
        <f>D124</f>
        <v>1</v>
      </c>
      <c r="E112" s="12">
        <f>E124</f>
        <v>544</v>
      </c>
      <c r="F112" s="12">
        <v>2</v>
      </c>
      <c r="G112" s="12">
        <f>G124</f>
        <v>0.15</v>
      </c>
      <c r="H112" s="13">
        <f>PRODUCT(D112:G112)</f>
        <v>163.19999999999999</v>
      </c>
      <c r="I112" s="14"/>
      <c r="J112" s="14"/>
      <c r="K112" s="6"/>
      <c r="L112" s="6"/>
      <c r="M112" s="6"/>
    </row>
    <row r="113" spans="1:13" s="7" customFormat="1" x14ac:dyDescent="0.2">
      <c r="A113" s="5"/>
      <c r="B113" s="267"/>
      <c r="C113" s="12"/>
      <c r="D113" s="12"/>
      <c r="E113" s="12"/>
      <c r="F113" s="12"/>
      <c r="G113" s="12"/>
      <c r="H113" s="13"/>
      <c r="I113" s="14"/>
      <c r="J113" s="14"/>
      <c r="K113" s="6"/>
      <c r="L113" s="6"/>
      <c r="M113" s="6"/>
    </row>
    <row r="114" spans="1:13" s="7" customFormat="1" ht="105" x14ac:dyDescent="0.2">
      <c r="A114" s="5" t="s">
        <v>83</v>
      </c>
      <c r="B114" s="41" t="s">
        <v>84</v>
      </c>
      <c r="C114" s="12" t="s">
        <v>73</v>
      </c>
      <c r="D114" s="12"/>
      <c r="E114" s="12"/>
      <c r="F114" s="12"/>
      <c r="G114" s="12" t="s">
        <v>309</v>
      </c>
      <c r="H114" s="342">
        <f>SUM(H116)</f>
        <v>2998.7999999999997</v>
      </c>
      <c r="I114" s="14">
        <v>669.55</v>
      </c>
      <c r="J114" s="337">
        <f>I114*H114</f>
        <v>2007846.5399999996</v>
      </c>
      <c r="K114" s="6"/>
      <c r="L114" s="6"/>
      <c r="M114" s="6"/>
    </row>
    <row r="115" spans="1:13" s="7" customFormat="1" x14ac:dyDescent="0.2">
      <c r="A115" s="5"/>
      <c r="B115" s="267" t="str">
        <f>B126</f>
        <v xml:space="preserve">ROAD SIDE </v>
      </c>
      <c r="C115" s="12"/>
      <c r="D115" s="12"/>
      <c r="E115" s="12"/>
      <c r="F115" s="12"/>
      <c r="G115" s="12"/>
      <c r="H115" s="13"/>
      <c r="I115" s="14"/>
      <c r="J115" s="14"/>
      <c r="K115" s="6"/>
      <c r="L115" s="6"/>
      <c r="M115" s="6"/>
    </row>
    <row r="116" spans="1:13" s="7" customFormat="1" x14ac:dyDescent="0.2">
      <c r="A116" s="5"/>
      <c r="B116" s="267" t="s">
        <v>363</v>
      </c>
      <c r="C116" s="12"/>
      <c r="D116" s="12">
        <f>D127</f>
        <v>1</v>
      </c>
      <c r="E116" s="12">
        <f>E127</f>
        <v>476</v>
      </c>
      <c r="F116" s="12">
        <v>2</v>
      </c>
      <c r="G116" s="12">
        <f>G127</f>
        <v>3.15</v>
      </c>
      <c r="H116" s="13">
        <f>PRODUCT(D116:G116)</f>
        <v>2998.7999999999997</v>
      </c>
      <c r="I116" s="14"/>
      <c r="J116" s="14"/>
      <c r="K116" s="6"/>
      <c r="L116" s="6"/>
      <c r="M116" s="6"/>
    </row>
    <row r="117" spans="1:13" s="7" customFormat="1" x14ac:dyDescent="0.2">
      <c r="A117" s="5"/>
      <c r="B117" s="12"/>
      <c r="C117" s="12"/>
      <c r="D117" s="12"/>
      <c r="E117" s="12">
        <f>E128</f>
        <v>1088</v>
      </c>
      <c r="F117" s="12">
        <v>2</v>
      </c>
      <c r="G117" s="12">
        <f>G128</f>
        <v>1.2</v>
      </c>
      <c r="H117" s="339">
        <f>PRODUCT(D117:G117)</f>
        <v>2611.1999999999998</v>
      </c>
      <c r="I117" s="14"/>
      <c r="J117" s="14"/>
      <c r="K117" s="6"/>
      <c r="L117" s="6"/>
      <c r="M117" s="6"/>
    </row>
    <row r="118" spans="1:13" s="7" customFormat="1" x14ac:dyDescent="0.2">
      <c r="A118" s="5"/>
      <c r="B118" s="12"/>
      <c r="C118" s="12"/>
      <c r="D118" s="12"/>
      <c r="E118" s="12"/>
      <c r="F118" s="12"/>
      <c r="G118" s="12"/>
      <c r="H118" s="13"/>
      <c r="I118" s="14"/>
      <c r="J118" s="14"/>
      <c r="K118" s="6"/>
      <c r="L118" s="6"/>
      <c r="M118" s="6"/>
    </row>
    <row r="119" spans="1:13" s="7" customFormat="1" ht="231" x14ac:dyDescent="0.2">
      <c r="A119" s="5">
        <v>5.33</v>
      </c>
      <c r="B119" s="41" t="s">
        <v>312</v>
      </c>
      <c r="C119" s="12"/>
      <c r="D119" s="12"/>
      <c r="E119" s="12"/>
      <c r="F119" s="12"/>
      <c r="G119" s="12"/>
      <c r="H119" s="13"/>
      <c r="I119" s="14"/>
      <c r="J119" s="14">
        <f>I119*H119</f>
        <v>0</v>
      </c>
      <c r="K119" s="6"/>
      <c r="L119" s="6"/>
      <c r="M119" s="6"/>
    </row>
    <row r="120" spans="1:13" s="7" customFormat="1" x14ac:dyDescent="0.2">
      <c r="A120" s="5" t="s">
        <v>100</v>
      </c>
      <c r="B120" s="41" t="s">
        <v>101</v>
      </c>
      <c r="C120" s="12"/>
      <c r="D120" s="12"/>
      <c r="E120" s="12"/>
      <c r="F120" s="12"/>
      <c r="G120" s="12"/>
      <c r="H120" s="13"/>
      <c r="I120" s="14"/>
      <c r="J120" s="14">
        <f>I120*H120</f>
        <v>0</v>
      </c>
      <c r="K120" s="6"/>
      <c r="L120" s="6"/>
      <c r="M120" s="6"/>
    </row>
    <row r="121" spans="1:13" s="7" customFormat="1" ht="42" x14ac:dyDescent="0.2">
      <c r="A121" s="5" t="s">
        <v>102</v>
      </c>
      <c r="B121" s="41" t="s">
        <v>313</v>
      </c>
      <c r="C121" s="12" t="s">
        <v>43</v>
      </c>
      <c r="D121" s="12"/>
      <c r="E121" s="12"/>
      <c r="F121" s="12"/>
      <c r="G121" s="12" t="s">
        <v>309</v>
      </c>
      <c r="H121" s="337">
        <f>SUM(H122:H129)</f>
        <v>820.08</v>
      </c>
      <c r="I121" s="14">
        <v>7997.3</v>
      </c>
      <c r="J121" s="337">
        <f>I121*H121</f>
        <v>6558425.7840000009</v>
      </c>
      <c r="K121" s="6"/>
      <c r="L121" s="6"/>
      <c r="M121" s="6"/>
    </row>
    <row r="122" spans="1:13" s="7" customFormat="1" x14ac:dyDescent="0.2">
      <c r="A122" s="5"/>
      <c r="B122" s="271" t="str">
        <f>B105</f>
        <v xml:space="preserve">ROAD SIDE </v>
      </c>
      <c r="C122" s="272"/>
      <c r="D122" s="271"/>
      <c r="E122" s="271"/>
      <c r="F122" s="273"/>
      <c r="G122" s="272"/>
      <c r="H122" s="274"/>
      <c r="I122" s="14"/>
      <c r="J122" s="14"/>
      <c r="K122" s="6"/>
      <c r="L122" s="6"/>
      <c r="M122" s="6"/>
    </row>
    <row r="123" spans="1:13" s="7" customFormat="1" x14ac:dyDescent="0.2">
      <c r="A123" s="5"/>
      <c r="B123" s="271" t="str">
        <f>B106</f>
        <v xml:space="preserve">RAFT </v>
      </c>
      <c r="C123" s="272"/>
      <c r="D123" s="271">
        <f t="shared" ref="D123:E125" si="6">D106</f>
        <v>1</v>
      </c>
      <c r="E123" s="271">
        <f t="shared" si="6"/>
        <v>476</v>
      </c>
      <c r="F123" s="271">
        <f>F106-0.2</f>
        <v>1</v>
      </c>
      <c r="G123" s="272">
        <v>0.25</v>
      </c>
      <c r="H123" s="274">
        <f>PRODUCT(D123:G123)</f>
        <v>119</v>
      </c>
      <c r="I123" s="14"/>
      <c r="J123" s="14"/>
      <c r="K123" s="6"/>
      <c r="L123" s="6"/>
      <c r="M123" s="6"/>
    </row>
    <row r="124" spans="1:13" s="7" customFormat="1" x14ac:dyDescent="0.2">
      <c r="A124" s="5"/>
      <c r="B124" s="271" t="str">
        <f>B107</f>
        <v xml:space="preserve">DRAIN </v>
      </c>
      <c r="C124" s="272"/>
      <c r="D124" s="271">
        <f t="shared" si="6"/>
        <v>1</v>
      </c>
      <c r="E124" s="271">
        <f t="shared" si="6"/>
        <v>544</v>
      </c>
      <c r="F124" s="271">
        <f>F107-0.2</f>
        <v>0.60000000000000009</v>
      </c>
      <c r="G124" s="272">
        <v>0.15</v>
      </c>
      <c r="H124" s="274">
        <f>PRODUCT(D124:G124)</f>
        <v>48.96</v>
      </c>
      <c r="I124" s="14"/>
      <c r="J124" s="14"/>
      <c r="K124" s="6"/>
      <c r="L124" s="6"/>
      <c r="M124" s="6"/>
    </row>
    <row r="125" spans="1:13" s="7" customFormat="1" x14ac:dyDescent="0.2">
      <c r="A125" s="5"/>
      <c r="B125" s="271" t="str">
        <f>B108</f>
        <v xml:space="preserve">wall panel room periferi </v>
      </c>
      <c r="C125" s="272"/>
      <c r="D125" s="271">
        <f t="shared" si="6"/>
        <v>1</v>
      </c>
      <c r="E125" s="271">
        <f t="shared" si="6"/>
        <v>184</v>
      </c>
      <c r="F125" s="271">
        <f>F108-0.2</f>
        <v>1</v>
      </c>
      <c r="G125" s="272">
        <v>0.25</v>
      </c>
      <c r="H125" s="274">
        <f>PRODUCT(D125:G125)</f>
        <v>46</v>
      </c>
      <c r="I125" s="14"/>
      <c r="J125" s="14"/>
      <c r="K125" s="6"/>
      <c r="L125" s="6"/>
      <c r="M125" s="6"/>
    </row>
    <row r="126" spans="1:13" s="7" customFormat="1" x14ac:dyDescent="0.2">
      <c r="A126" s="5"/>
      <c r="B126" s="267" t="str">
        <f>B105</f>
        <v xml:space="preserve">ROAD SIDE </v>
      </c>
      <c r="C126" s="12"/>
      <c r="D126" s="267"/>
      <c r="E126" s="267"/>
      <c r="F126" s="265"/>
      <c r="G126" s="13"/>
      <c r="H126" s="274"/>
      <c r="I126" s="14"/>
      <c r="J126" s="14"/>
      <c r="K126" s="6"/>
      <c r="L126" s="6"/>
      <c r="M126" s="6"/>
    </row>
    <row r="127" spans="1:13" s="7" customFormat="1" x14ac:dyDescent="0.2">
      <c r="A127" s="5"/>
      <c r="B127" s="267" t="s">
        <v>439</v>
      </c>
      <c r="C127" s="12"/>
      <c r="D127" s="271">
        <v>1</v>
      </c>
      <c r="E127" s="271">
        <f>E106</f>
        <v>476</v>
      </c>
      <c r="F127" s="271">
        <v>0.2</v>
      </c>
      <c r="G127" s="13">
        <f>2+1.5-0.1-0.25</f>
        <v>3.15</v>
      </c>
      <c r="H127" s="274">
        <f>PRODUCT(D127:G127)</f>
        <v>299.88</v>
      </c>
      <c r="I127" s="14"/>
      <c r="J127" s="14"/>
      <c r="K127" s="6"/>
      <c r="L127" s="6"/>
      <c r="M127" s="6"/>
    </row>
    <row r="128" spans="1:13" s="7" customFormat="1" x14ac:dyDescent="0.2">
      <c r="A128" s="5"/>
      <c r="B128" s="267" t="s">
        <v>440</v>
      </c>
      <c r="C128" s="12"/>
      <c r="D128" s="271">
        <f>D111</f>
        <v>1</v>
      </c>
      <c r="E128" s="267">
        <f>E124*2</f>
        <v>1088</v>
      </c>
      <c r="F128" s="265">
        <v>0.15</v>
      </c>
      <c r="G128" s="13">
        <v>1.2</v>
      </c>
      <c r="H128" s="274">
        <f>PRODUCT(D128:G128)</f>
        <v>195.83999999999997</v>
      </c>
      <c r="I128" s="14"/>
      <c r="J128" s="14"/>
      <c r="K128" s="6"/>
      <c r="L128" s="6"/>
      <c r="M128" s="6"/>
    </row>
    <row r="129" spans="1:13" s="7" customFormat="1" x14ac:dyDescent="0.2">
      <c r="A129" s="5"/>
      <c r="B129" s="275" t="str">
        <f>B125</f>
        <v xml:space="preserve">wall panel room periferi </v>
      </c>
      <c r="C129" s="12"/>
      <c r="D129" s="271">
        <f>D112</f>
        <v>1</v>
      </c>
      <c r="E129" s="267">
        <f>E108</f>
        <v>184</v>
      </c>
      <c r="F129" s="265">
        <v>0.2</v>
      </c>
      <c r="G129" s="13">
        <v>3</v>
      </c>
      <c r="H129" s="274">
        <f>PRODUCT(D129:G129)</f>
        <v>110.4</v>
      </c>
      <c r="I129" s="14"/>
      <c r="J129" s="14"/>
      <c r="K129" s="6"/>
      <c r="L129" s="6"/>
      <c r="M129" s="6"/>
    </row>
    <row r="130" spans="1:13" s="7" customFormat="1" ht="42" x14ac:dyDescent="0.2">
      <c r="A130" s="5" t="s">
        <v>104</v>
      </c>
      <c r="B130" s="41" t="s">
        <v>315</v>
      </c>
      <c r="C130" s="12" t="s">
        <v>43</v>
      </c>
      <c r="D130" s="12"/>
      <c r="E130" s="12"/>
      <c r="F130" s="12"/>
      <c r="G130" s="12"/>
      <c r="H130" s="13"/>
      <c r="I130" s="14">
        <v>8599.35</v>
      </c>
      <c r="J130" s="14">
        <f>I130*H130</f>
        <v>0</v>
      </c>
      <c r="K130" s="6"/>
      <c r="L130" s="6"/>
      <c r="M130" s="6"/>
    </row>
    <row r="131" spans="1:13" s="7" customFormat="1" x14ac:dyDescent="0.2">
      <c r="A131" s="5" t="s">
        <v>106</v>
      </c>
      <c r="B131" s="41" t="s">
        <v>107</v>
      </c>
      <c r="C131" s="12"/>
      <c r="D131" s="12"/>
      <c r="E131" s="12"/>
      <c r="F131" s="12"/>
      <c r="G131" s="12"/>
      <c r="H131" s="13"/>
      <c r="I131" s="14"/>
      <c r="J131" s="14">
        <f>I131*H131</f>
        <v>0</v>
      </c>
      <c r="K131" s="6"/>
      <c r="L131" s="6"/>
      <c r="M131" s="6"/>
    </row>
    <row r="132" spans="1:13" s="7" customFormat="1" ht="42" x14ac:dyDescent="0.2">
      <c r="A132" s="5" t="s">
        <v>108</v>
      </c>
      <c r="B132" s="41" t="s">
        <v>313</v>
      </c>
      <c r="C132" s="12" t="s">
        <v>43</v>
      </c>
      <c r="D132" s="12"/>
      <c r="E132" s="12"/>
      <c r="F132" s="12"/>
      <c r="G132" s="12" t="s">
        <v>309</v>
      </c>
      <c r="H132" s="13">
        <f>SUM(H133:H133)</f>
        <v>0</v>
      </c>
      <c r="I132" s="14">
        <v>10080.15</v>
      </c>
      <c r="J132" s="14">
        <f>I132*H132</f>
        <v>0</v>
      </c>
      <c r="K132" s="6"/>
      <c r="L132" s="6"/>
      <c r="M132" s="6"/>
    </row>
    <row r="133" spans="1:13" s="7" customFormat="1" x14ac:dyDescent="0.2">
      <c r="A133" s="5"/>
      <c r="B133" s="41" t="s">
        <v>398</v>
      </c>
      <c r="C133" s="12"/>
      <c r="D133" s="12"/>
      <c r="E133" s="12"/>
      <c r="F133" s="12"/>
      <c r="G133" s="12"/>
      <c r="H133" s="13">
        <f>PRODUCT(D133:G133)</f>
        <v>0</v>
      </c>
      <c r="I133" s="14"/>
      <c r="J133" s="14"/>
      <c r="K133" s="6"/>
      <c r="L133" s="6"/>
      <c r="M133" s="6"/>
    </row>
    <row r="134" spans="1:13" s="7" customFormat="1" ht="42" x14ac:dyDescent="0.2">
      <c r="A134" s="5" t="s">
        <v>109</v>
      </c>
      <c r="B134" s="41" t="s">
        <v>315</v>
      </c>
      <c r="C134" s="12" t="s">
        <v>43</v>
      </c>
      <c r="D134" s="12"/>
      <c r="E134" s="12"/>
      <c r="F134" s="12"/>
      <c r="G134" s="12"/>
      <c r="H134" s="13"/>
      <c r="I134" s="14">
        <v>10221.700000000001</v>
      </c>
      <c r="J134" s="14">
        <f>I134*H134</f>
        <v>0</v>
      </c>
      <c r="K134" s="6"/>
      <c r="L134" s="6"/>
      <c r="M134" s="6"/>
    </row>
    <row r="135" spans="1:13" s="7" customFormat="1" ht="84" x14ac:dyDescent="0.2">
      <c r="A135" s="5">
        <v>5.22</v>
      </c>
      <c r="B135" s="41" t="s">
        <v>316</v>
      </c>
      <c r="C135" s="138"/>
      <c r="D135" s="138"/>
      <c r="E135" s="138"/>
      <c r="F135" s="138"/>
      <c r="G135" s="138"/>
      <c r="H135" s="13"/>
      <c r="I135" s="14"/>
      <c r="J135" s="14">
        <f>I135*H135</f>
        <v>0</v>
      </c>
      <c r="K135" s="6"/>
      <c r="L135" s="6"/>
      <c r="M135" s="6"/>
    </row>
    <row r="136" spans="1:13" s="7" customFormat="1" x14ac:dyDescent="0.2">
      <c r="A136" s="5" t="s">
        <v>110</v>
      </c>
      <c r="B136" s="41" t="s">
        <v>111</v>
      </c>
      <c r="C136" s="12" t="s">
        <v>112</v>
      </c>
      <c r="D136" s="12"/>
      <c r="E136" s="12"/>
      <c r="F136" s="12"/>
      <c r="G136" s="12" t="s">
        <v>309</v>
      </c>
      <c r="H136" s="346">
        <f>SUM(H137)</f>
        <v>90208.8</v>
      </c>
      <c r="I136" s="14">
        <v>89.65</v>
      </c>
      <c r="J136" s="337">
        <f>I136*H136</f>
        <v>8087218.9200000009</v>
      </c>
      <c r="K136" s="6"/>
      <c r="L136" s="6"/>
      <c r="M136" s="6"/>
    </row>
    <row r="137" spans="1:13" s="7" customFormat="1" x14ac:dyDescent="0.2">
      <c r="A137" s="5"/>
      <c r="B137" s="41"/>
      <c r="C137" s="12"/>
      <c r="D137" s="12">
        <v>110</v>
      </c>
      <c r="E137" s="12"/>
      <c r="F137"/>
      <c r="G137" s="13">
        <f>H121</f>
        <v>820.08</v>
      </c>
      <c r="H137" s="13">
        <f>PRODUCT(D137:G137)</f>
        <v>90208.8</v>
      </c>
      <c r="I137" s="14"/>
      <c r="J137" s="14"/>
      <c r="K137" s="6"/>
      <c r="L137" s="6"/>
      <c r="M137" s="6"/>
    </row>
    <row r="138" spans="1:13" s="7" customFormat="1" x14ac:dyDescent="0.2">
      <c r="A138" s="5">
        <v>13.3</v>
      </c>
      <c r="B138" s="277" t="s">
        <v>126</v>
      </c>
      <c r="C138" s="12"/>
      <c r="D138" s="12"/>
      <c r="E138" s="12"/>
      <c r="F138" s="12"/>
      <c r="G138" s="12"/>
      <c r="H138" s="13"/>
      <c r="I138" s="14"/>
      <c r="J138" s="14">
        <f>I138*H138</f>
        <v>0</v>
      </c>
      <c r="K138" s="6"/>
      <c r="L138" s="6"/>
      <c r="M138" s="6"/>
    </row>
    <row r="139" spans="1:13" s="7" customFormat="1" x14ac:dyDescent="0.2">
      <c r="A139" s="5" t="s">
        <v>127</v>
      </c>
      <c r="B139" s="41" t="s">
        <v>124</v>
      </c>
      <c r="C139" s="12" t="s">
        <v>73</v>
      </c>
      <c r="D139" s="12"/>
      <c r="E139" s="12"/>
      <c r="F139" s="12"/>
      <c r="G139" s="12" t="s">
        <v>309</v>
      </c>
      <c r="H139" s="13"/>
      <c r="I139" s="14">
        <v>402.15</v>
      </c>
      <c r="J139" s="14">
        <f>I139*H139</f>
        <v>0</v>
      </c>
      <c r="K139" s="6"/>
      <c r="L139" s="6"/>
      <c r="M139" s="6"/>
    </row>
    <row r="140" spans="1:13" s="7" customFormat="1" x14ac:dyDescent="0.2">
      <c r="A140" s="5"/>
      <c r="B140" s="41"/>
      <c r="C140" s="12"/>
      <c r="D140" s="12"/>
      <c r="E140" s="12"/>
      <c r="F140" s="12"/>
      <c r="G140" s="41"/>
      <c r="H140" s="276"/>
      <c r="I140" s="14"/>
      <c r="J140" s="14"/>
      <c r="K140" s="6"/>
      <c r="L140" s="6"/>
      <c r="M140" s="6"/>
    </row>
    <row r="141" spans="1:13" s="90" customFormat="1" ht="324" x14ac:dyDescent="0.3">
      <c r="A141" s="85">
        <v>22.22</v>
      </c>
      <c r="B141" s="30" t="s">
        <v>441</v>
      </c>
      <c r="C141" s="31" t="s">
        <v>112</v>
      </c>
      <c r="D141" s="86"/>
      <c r="E141" s="87"/>
      <c r="F141" s="86"/>
      <c r="G141" s="88" t="s">
        <v>309</v>
      </c>
      <c r="H141" s="347">
        <f>H142</f>
        <v>2460.2400000000002</v>
      </c>
      <c r="I141" s="185">
        <v>332.4</v>
      </c>
      <c r="J141" s="337">
        <f>I141*H141</f>
        <v>817783.77600000007</v>
      </c>
      <c r="K141" s="2"/>
      <c r="L141" s="89"/>
      <c r="M141" s="89"/>
    </row>
    <row r="142" spans="1:13" s="90" customFormat="1" ht="60" customHeight="1" x14ac:dyDescent="0.3">
      <c r="A142" s="85"/>
      <c r="B142" s="30"/>
      <c r="C142" s="86" t="s">
        <v>442</v>
      </c>
      <c r="D142" s="86">
        <v>3</v>
      </c>
      <c r="E142" s="87">
        <f>H121</f>
        <v>820.08</v>
      </c>
      <c r="F142" s="86"/>
      <c r="G142" s="88"/>
      <c r="H142" s="278">
        <f>PRODUCT(D142:G142)</f>
        <v>2460.2400000000002</v>
      </c>
      <c r="I142" s="185"/>
      <c r="J142" s="186"/>
      <c r="K142" s="91"/>
      <c r="L142" s="89"/>
      <c r="M142" s="89"/>
    </row>
    <row r="143" spans="1:13" s="90" customFormat="1" ht="81" x14ac:dyDescent="0.3">
      <c r="A143" s="85">
        <v>22.4</v>
      </c>
      <c r="B143" s="30" t="s">
        <v>144</v>
      </c>
      <c r="C143" s="31"/>
      <c r="D143" s="86"/>
      <c r="E143" s="87"/>
      <c r="F143" s="86">
        <f>+ROUNDUP(D143*E143,0)</f>
        <v>0</v>
      </c>
      <c r="G143" s="88"/>
      <c r="H143" s="279" t="s">
        <v>378</v>
      </c>
      <c r="I143" s="187"/>
      <c r="J143" s="186"/>
      <c r="K143" s="91"/>
      <c r="L143" s="89"/>
      <c r="M143" s="89"/>
    </row>
    <row r="144" spans="1:13" s="90" customFormat="1" ht="40.5" x14ac:dyDescent="0.3">
      <c r="A144" s="85" t="s">
        <v>145</v>
      </c>
      <c r="B144" s="30" t="s">
        <v>146</v>
      </c>
      <c r="C144" s="31" t="s">
        <v>147</v>
      </c>
      <c r="D144" s="86"/>
      <c r="E144" s="92"/>
      <c r="F144" s="92"/>
      <c r="G144" s="93" t="s">
        <v>309</v>
      </c>
      <c r="H144" s="348">
        <f>SUM(H146)</f>
        <v>1732.5</v>
      </c>
      <c r="I144" s="185">
        <v>285.60000000000002</v>
      </c>
      <c r="J144" s="337">
        <f>I144*H144</f>
        <v>494802.00000000006</v>
      </c>
      <c r="K144" s="95"/>
      <c r="L144" s="89"/>
      <c r="M144" s="89"/>
    </row>
    <row r="145" spans="1:13" s="90" customFormat="1" ht="20.25" x14ac:dyDescent="0.3">
      <c r="A145" s="85"/>
      <c r="B145" s="30"/>
      <c r="C145" s="30"/>
      <c r="D145" s="30"/>
      <c r="E145" s="280"/>
      <c r="F145" s="280"/>
      <c r="G145" s="280"/>
      <c r="H145" s="94"/>
      <c r="I145" s="185"/>
      <c r="J145" s="188"/>
      <c r="K145" s="95"/>
      <c r="L145" s="89"/>
      <c r="M145" s="89"/>
    </row>
    <row r="146" spans="1:13" s="90" customFormat="1" ht="20.25" x14ac:dyDescent="0.3">
      <c r="A146" s="85"/>
      <c r="B146" s="30"/>
      <c r="C146" s="30"/>
      <c r="D146" s="30">
        <f>D127</f>
        <v>1</v>
      </c>
      <c r="E146" s="30">
        <f>E127+E129</f>
        <v>660</v>
      </c>
      <c r="F146" s="280"/>
      <c r="G146" s="30">
        <f>G127/1.2</f>
        <v>2.625</v>
      </c>
      <c r="H146" s="94">
        <f>PRODUCT(D146:G146)</f>
        <v>1732.5</v>
      </c>
      <c r="I146" s="185"/>
      <c r="J146" s="188"/>
      <c r="K146" s="95"/>
      <c r="L146" s="89"/>
      <c r="M146" s="89"/>
    </row>
    <row r="147" spans="1:13" s="7" customFormat="1" ht="141.75" customHeight="1" x14ac:dyDescent="0.2">
      <c r="A147" s="72">
        <v>26.35</v>
      </c>
      <c r="B147" s="41" t="s">
        <v>148</v>
      </c>
      <c r="C147"/>
      <c r="D147" s="12"/>
      <c r="E147" s="12"/>
      <c r="F147" s="12"/>
      <c r="G147" s="12"/>
      <c r="H147" s="13"/>
      <c r="I147" s="14"/>
      <c r="J147" s="14"/>
      <c r="K147" s="6"/>
      <c r="L147" s="6"/>
      <c r="M147" s="6"/>
    </row>
    <row r="148" spans="1:13" s="7" customFormat="1" ht="38.25" customHeight="1" x14ac:dyDescent="0.2">
      <c r="A148" s="72" t="s">
        <v>149</v>
      </c>
      <c r="B148" s="41" t="s">
        <v>150</v>
      </c>
      <c r="C148" s="12" t="s">
        <v>112</v>
      </c>
      <c r="D148" s="12"/>
      <c r="E148" s="12">
        <f>(476+150)*4.7</f>
        <v>2942.2000000000003</v>
      </c>
      <c r="F148" s="12">
        <f>1.2*1.2</f>
        <v>1.44</v>
      </c>
      <c r="G148" s="12"/>
      <c r="H148" s="348">
        <f>PRODUCT(D148:G148)</f>
        <v>4236.768</v>
      </c>
      <c r="I148" s="14">
        <v>793.25</v>
      </c>
      <c r="J148" s="337">
        <f>I148*H148</f>
        <v>3360816.216</v>
      </c>
      <c r="K148" s="6"/>
      <c r="L148" s="6"/>
      <c r="M148" s="6"/>
    </row>
    <row r="149" spans="1:13" s="7" customFormat="1" ht="81" x14ac:dyDescent="0.2">
      <c r="A149" s="97">
        <v>16.73</v>
      </c>
      <c r="B149" s="281" t="s">
        <v>151</v>
      </c>
      <c r="C149" s="282" t="s">
        <v>73</v>
      </c>
      <c r="D149" s="282"/>
      <c r="E149" s="40"/>
      <c r="F149" s="283"/>
      <c r="G149" s="283"/>
      <c r="H149" s="265">
        <f>SUM(H150:H151)</f>
        <v>2265.6000000000004</v>
      </c>
      <c r="I149" s="13">
        <v>542.85</v>
      </c>
      <c r="J149" s="337">
        <f>I149*H149</f>
        <v>1229880.9600000002</v>
      </c>
      <c r="K149" s="6"/>
      <c r="L149" s="6"/>
      <c r="M149" s="6"/>
    </row>
    <row r="150" spans="1:13" s="7" customFormat="1" ht="20.25" x14ac:dyDescent="0.2">
      <c r="A150" s="97"/>
      <c r="B150" s="281"/>
      <c r="C150" s="282"/>
      <c r="D150" s="282"/>
      <c r="E150" s="40">
        <v>476</v>
      </c>
      <c r="F150" s="283">
        <v>3.6</v>
      </c>
      <c r="G150" s="283"/>
      <c r="H150" s="284">
        <f>PRODUCT(D150:G150)</f>
        <v>1713.6000000000001</v>
      </c>
      <c r="I150" s="13"/>
      <c r="J150" s="14"/>
      <c r="K150" s="6"/>
      <c r="L150" s="6"/>
      <c r="M150" s="6"/>
    </row>
    <row r="151" spans="1:13" s="7" customFormat="1" ht="20.25" x14ac:dyDescent="0.2">
      <c r="A151" s="97"/>
      <c r="B151" s="281"/>
      <c r="C151" s="282"/>
      <c r="D151" s="282"/>
      <c r="E151" s="40">
        <v>184</v>
      </c>
      <c r="F151" s="283">
        <v>3</v>
      </c>
      <c r="G151" s="283"/>
      <c r="H151" s="284">
        <f>PRODUCT(D151:G151)</f>
        <v>552</v>
      </c>
      <c r="I151" s="13"/>
      <c r="J151" s="14"/>
      <c r="K151" s="6"/>
      <c r="L151" s="6"/>
      <c r="M151" s="6"/>
    </row>
    <row r="152" spans="1:13" s="7" customFormat="1" x14ac:dyDescent="0.35">
      <c r="A152" s="97"/>
      <c r="B152" s="281"/>
      <c r="C152" s="282"/>
      <c r="D152" s="282"/>
      <c r="E152" s="40"/>
      <c r="F152" s="283"/>
      <c r="G152" s="283"/>
      <c r="H152" s="285"/>
      <c r="I152" s="13"/>
      <c r="J152" s="14"/>
      <c r="K152" s="6"/>
      <c r="L152" s="6"/>
      <c r="M152" s="6"/>
    </row>
    <row r="153" spans="1:13" s="7" customFormat="1" ht="65.25" customHeight="1" x14ac:dyDescent="0.2">
      <c r="A153" s="97">
        <v>16.11</v>
      </c>
      <c r="B153" s="281" t="s">
        <v>152</v>
      </c>
      <c r="C153" s="282" t="s">
        <v>73</v>
      </c>
      <c r="D153" s="282"/>
      <c r="E153" s="40"/>
      <c r="F153" s="283"/>
      <c r="G153" s="283" t="s">
        <v>309</v>
      </c>
      <c r="H153" s="265">
        <f>SUM(H154:H155)</f>
        <v>2456</v>
      </c>
      <c r="I153" s="13">
        <v>821.95</v>
      </c>
      <c r="J153" s="337">
        <f>I153*H153</f>
        <v>2018709.2000000002</v>
      </c>
      <c r="K153" s="6"/>
      <c r="L153" s="6"/>
      <c r="M153" s="6"/>
    </row>
    <row r="154" spans="1:13" s="7" customFormat="1" ht="20.25" x14ac:dyDescent="0.2">
      <c r="A154" s="97"/>
      <c r="B154" s="281"/>
      <c r="C154" s="282"/>
      <c r="D154" s="283"/>
      <c r="E154" s="283">
        <f>E150</f>
        <v>476</v>
      </c>
      <c r="F154" s="283">
        <v>4</v>
      </c>
      <c r="G154" s="283"/>
      <c r="H154" s="265">
        <f>PRODUCT(D154:G154)</f>
        <v>1904</v>
      </c>
      <c r="I154" s="13"/>
      <c r="J154" s="14"/>
      <c r="K154" s="14"/>
      <c r="L154" s="6"/>
      <c r="M154" s="6"/>
    </row>
    <row r="155" spans="1:13" s="7" customFormat="1" ht="20.25" x14ac:dyDescent="0.2">
      <c r="A155" s="97"/>
      <c r="B155" s="286"/>
      <c r="C155" s="287"/>
      <c r="D155" s="288"/>
      <c r="E155" s="283">
        <f>E151</f>
        <v>184</v>
      </c>
      <c r="F155" s="283">
        <v>3</v>
      </c>
      <c r="G155" s="12"/>
      <c r="H155" s="265">
        <f>PRODUCT(D155:G155)</f>
        <v>552</v>
      </c>
      <c r="I155" s="244"/>
      <c r="J155" s="245"/>
      <c r="K155" s="246"/>
      <c r="L155" s="247"/>
    </row>
    <row r="156" spans="1:13" x14ac:dyDescent="0.35">
      <c r="A156" s="5"/>
      <c r="B156" s="573" t="s">
        <v>443</v>
      </c>
      <c r="C156" s="574"/>
      <c r="D156" s="574"/>
      <c r="E156" s="574"/>
      <c r="F156" s="574"/>
      <c r="G156" s="574"/>
      <c r="H156" s="574"/>
      <c r="I156" s="241"/>
      <c r="J156" s="242"/>
      <c r="K156" s="40"/>
      <c r="L156" s="157"/>
      <c r="M156" s="158"/>
    </row>
    <row r="157" spans="1:13" s="214" customFormat="1" ht="81" x14ac:dyDescent="0.25">
      <c r="A157" s="215">
        <v>2.7</v>
      </c>
      <c r="B157" s="289" t="s">
        <v>444</v>
      </c>
      <c r="C157" s="215"/>
      <c r="D157" s="216"/>
      <c r="E157" s="216"/>
      <c r="F157" s="216"/>
      <c r="G157" s="243"/>
      <c r="H157" s="216"/>
      <c r="I157" s="217"/>
      <c r="J157" s="218"/>
      <c r="K157" s="243"/>
      <c r="L157" s="243"/>
      <c r="M157" s="216"/>
    </row>
    <row r="158" spans="1:13" s="214" customFormat="1" ht="20.25" x14ac:dyDescent="0.25">
      <c r="A158" s="215" t="s">
        <v>45</v>
      </c>
      <c r="B158" s="289" t="s">
        <v>445</v>
      </c>
      <c r="C158" s="215" t="s">
        <v>446</v>
      </c>
      <c r="D158" s="216"/>
      <c r="E158" s="216"/>
      <c r="F158" s="216"/>
      <c r="G158" s="243"/>
      <c r="H158" s="290">
        <v>1000</v>
      </c>
      <c r="I158" s="219">
        <v>412.95</v>
      </c>
      <c r="J158" s="356">
        <f>(H158*I158)</f>
        <v>412950</v>
      </c>
      <c r="K158" s="243"/>
      <c r="L158" s="243"/>
      <c r="M158" s="216"/>
    </row>
    <row r="159" spans="1:13" s="214" customFormat="1" ht="81" x14ac:dyDescent="0.25">
      <c r="A159" s="215">
        <v>2.25</v>
      </c>
      <c r="B159" s="289" t="s">
        <v>447</v>
      </c>
      <c r="C159" s="215" t="s">
        <v>446</v>
      </c>
      <c r="D159" s="216"/>
      <c r="E159" s="216"/>
      <c r="F159" s="216"/>
      <c r="G159" s="216"/>
      <c r="H159" s="290">
        <v>500</v>
      </c>
      <c r="I159" s="220">
        <v>253.95</v>
      </c>
      <c r="J159" s="356">
        <f>(H159*I159)</f>
        <v>126975</v>
      </c>
      <c r="K159" s="216"/>
      <c r="L159" s="216"/>
      <c r="M159" s="216"/>
    </row>
    <row r="160" spans="1:13" s="214" customFormat="1" ht="121.5" x14ac:dyDescent="0.25">
      <c r="A160" s="221" t="s">
        <v>448</v>
      </c>
      <c r="B160" s="289" t="s">
        <v>449</v>
      </c>
      <c r="C160" s="282" t="s">
        <v>446</v>
      </c>
      <c r="D160" s="216"/>
      <c r="E160" s="216"/>
      <c r="F160" s="216"/>
      <c r="G160" s="216"/>
      <c r="H160" s="290">
        <f>12000+453+595</f>
        <v>13048</v>
      </c>
      <c r="I160" s="220">
        <v>500</v>
      </c>
      <c r="J160" s="356">
        <f>(H160*I160)</f>
        <v>6524000</v>
      </c>
      <c r="K160" s="216"/>
      <c r="L160" s="216"/>
      <c r="M160" s="216"/>
    </row>
    <row r="161" spans="1:13" x14ac:dyDescent="0.35">
      <c r="A161" s="262"/>
      <c r="B161" s="11"/>
      <c r="C161" s="40"/>
      <c r="D161" s="222"/>
      <c r="E161" s="222"/>
      <c r="F161" s="222"/>
      <c r="G161" s="222"/>
      <c r="H161" s="222"/>
      <c r="I161" s="223"/>
      <c r="J161" s="223"/>
      <c r="K161" s="260"/>
      <c r="L161" s="157"/>
      <c r="M161" s="158"/>
    </row>
    <row r="162" spans="1:13" x14ac:dyDescent="0.35">
      <c r="A162" s="262"/>
      <c r="B162" s="11"/>
      <c r="C162" s="40"/>
      <c r="D162" s="222"/>
      <c r="E162" s="222"/>
      <c r="F162" s="222"/>
      <c r="G162" s="222"/>
      <c r="H162" s="222"/>
      <c r="I162" s="223"/>
      <c r="J162" s="223"/>
      <c r="K162" s="260"/>
      <c r="L162" s="157"/>
      <c r="M162" s="158"/>
    </row>
    <row r="163" spans="1:13" ht="20.100000000000001" customHeight="1" x14ac:dyDescent="0.35">
      <c r="A163" s="212"/>
      <c r="B163" s="213"/>
      <c r="C163" s="575" t="s">
        <v>300</v>
      </c>
      <c r="D163" s="575"/>
      <c r="E163" s="575"/>
      <c r="F163" s="575"/>
      <c r="G163" s="575"/>
      <c r="H163" s="575"/>
      <c r="I163" s="575"/>
      <c r="J163" s="226">
        <f>SUM(J6:J160)</f>
        <v>63533471.105700001</v>
      </c>
      <c r="K163" s="224"/>
      <c r="L163" s="157"/>
      <c r="M163" s="158"/>
    </row>
  </sheetData>
  <protectedRanges>
    <protectedRange sqref="I39:I40" name="Range1_16"/>
    <protectedRange sqref="I58" name="Range2_6_1"/>
    <protectedRange sqref="G59 I60" name="Range1_2"/>
    <protectedRange sqref="I157:I158" name="Range1"/>
    <protectedRange sqref="I159:I160" name="Range1_3"/>
    <protectedRange sqref="M2" name="Range1_1"/>
  </protectedRanges>
  <autoFilter ref="A5:M10">
    <filterColumn colId="7">
      <filters>
        <filter val="405"/>
      </filters>
    </filterColumn>
  </autoFilter>
  <mergeCells count="8">
    <mergeCell ref="B100:B101"/>
    <mergeCell ref="B156:H156"/>
    <mergeCell ref="C163:I163"/>
    <mergeCell ref="A1:M1"/>
    <mergeCell ref="A2:K2"/>
    <mergeCell ref="L2:M2"/>
    <mergeCell ref="A3:M3"/>
    <mergeCell ref="B70:I70"/>
  </mergeCells>
  <phoneticPr fontId="1" type="noConversion"/>
  <conditionalFormatting sqref="A6 C6:G6">
    <cfRule type="cellIs" dxfId="78" priority="122" stopIfTrue="1" operator="equal">
      <formula>#REF!</formula>
    </cfRule>
    <cfRule type="cellIs" dxfId="77" priority="123" stopIfTrue="1" operator="equal">
      <formula>#REF!</formula>
    </cfRule>
  </conditionalFormatting>
  <conditionalFormatting sqref="A8:A9">
    <cfRule type="cellIs" dxfId="76" priority="118" stopIfTrue="1" operator="equal">
      <formula>#REF!</formula>
    </cfRule>
    <cfRule type="cellIs" dxfId="75" priority="119" stopIfTrue="1" operator="equal">
      <formula>#REF!</formula>
    </cfRule>
  </conditionalFormatting>
  <conditionalFormatting sqref="A12:A14">
    <cfRule type="cellIs" dxfId="74" priority="108" stopIfTrue="1" operator="equal">
      <formula>#REF!</formula>
    </cfRule>
  </conditionalFormatting>
  <conditionalFormatting sqref="A58:A60">
    <cfRule type="cellIs" dxfId="73" priority="38" stopIfTrue="1" operator="equal">
      <formula>#REF!</formula>
    </cfRule>
  </conditionalFormatting>
  <conditionalFormatting sqref="A160">
    <cfRule type="cellIs" dxfId="72" priority="5" stopIfTrue="1" operator="equal">
      <formula>#REF!</formula>
    </cfRule>
  </conditionalFormatting>
  <conditionalFormatting sqref="A12:B12">
    <cfRule type="cellIs" dxfId="71" priority="111" stopIfTrue="1" operator="equal">
      <formula>#REF!</formula>
    </cfRule>
  </conditionalFormatting>
  <conditionalFormatting sqref="A149:B155">
    <cfRule type="cellIs" dxfId="70" priority="13" stopIfTrue="1" operator="equal">
      <formula>#REF!</formula>
    </cfRule>
  </conditionalFormatting>
  <conditionalFormatting sqref="B6">
    <cfRule type="cellIs" dxfId="69" priority="120" stopIfTrue="1" operator="equal">
      <formula>#REF!</formula>
    </cfRule>
  </conditionalFormatting>
  <conditionalFormatting sqref="B13:B14">
    <cfRule type="cellIs" dxfId="68" priority="106" stopIfTrue="1" operator="equal">
      <formula>#REF!</formula>
    </cfRule>
  </conditionalFormatting>
  <conditionalFormatting sqref="B16:B17">
    <cfRule type="cellIs" dxfId="67" priority="60" stopIfTrue="1" operator="equal">
      <formula>#REF!</formula>
    </cfRule>
  </conditionalFormatting>
  <conditionalFormatting sqref="B19:B22">
    <cfRule type="cellIs" dxfId="66" priority="98" stopIfTrue="1" operator="equal">
      <formula>#REF!</formula>
    </cfRule>
  </conditionalFormatting>
  <conditionalFormatting sqref="B24:B27">
    <cfRule type="cellIs" dxfId="65" priority="94" stopIfTrue="1" operator="equal">
      <formula>#REF!</formula>
    </cfRule>
  </conditionalFormatting>
  <conditionalFormatting sqref="B30:B57">
    <cfRule type="cellIs" dxfId="64" priority="1" stopIfTrue="1" operator="equal">
      <formula>#REF!</formula>
    </cfRule>
  </conditionalFormatting>
  <conditionalFormatting sqref="B157:B160">
    <cfRule type="cellIs" dxfId="63" priority="109" stopIfTrue="1" operator="equal">
      <formula>#REF!</formula>
    </cfRule>
  </conditionalFormatting>
  <conditionalFormatting sqref="B59:D60">
    <cfRule type="cellIs" dxfId="62" priority="32" stopIfTrue="1" operator="equal">
      <formula>#REF!</formula>
    </cfRule>
  </conditionalFormatting>
  <conditionalFormatting sqref="B8:G9 A58:C58">
    <cfRule type="cellIs" dxfId="61" priority="42" stopIfTrue="1" operator="equal">
      <formula>#REF!</formula>
    </cfRule>
  </conditionalFormatting>
  <conditionalFormatting sqref="C59:G59">
    <cfRule type="cellIs" dxfId="60" priority="36" stopIfTrue="1" operator="equal">
      <formula>#REF!</formula>
    </cfRule>
  </conditionalFormatting>
  <conditionalFormatting sqref="D10:G11">
    <cfRule type="cellIs" dxfId="59" priority="58" stopIfTrue="1" operator="equal">
      <formula>#REF!</formula>
    </cfRule>
  </conditionalFormatting>
  <conditionalFormatting sqref="D35:G37">
    <cfRule type="cellIs" dxfId="58" priority="51" stopIfTrue="1" operator="equal">
      <formula>#REF!</formula>
    </cfRule>
  </conditionalFormatting>
  <conditionalFormatting sqref="E149:E153">
    <cfRule type="cellIs" dxfId="57" priority="14" stopIfTrue="1" operator="equal">
      <formula>#REF!</formula>
    </cfRule>
  </conditionalFormatting>
  <conditionalFormatting sqref="E7:G7">
    <cfRule type="cellIs" dxfId="56" priority="53" stopIfTrue="1" operator="equal">
      <formula>#REF!</formula>
    </cfRule>
  </conditionalFormatting>
  <conditionalFormatting sqref="E60:G60">
    <cfRule type="cellIs" dxfId="55" priority="29" stopIfTrue="1" operator="equal">
      <formula>#REF!</formula>
    </cfRule>
  </conditionalFormatting>
  <conditionalFormatting sqref="H149">
    <cfRule type="cellIs" dxfId="54" priority="9" stopIfTrue="1" operator="equal">
      <formula>#REF!</formula>
    </cfRule>
  </conditionalFormatting>
  <conditionalFormatting sqref="H153:H155">
    <cfRule type="cellIs" dxfId="53" priority="2" stopIfTrue="1" operator="equal">
      <formula>#REF!</formula>
    </cfRule>
  </conditionalFormatting>
  <conditionalFormatting sqref="H158:H160">
    <cfRule type="cellIs" dxfId="52" priority="7" stopIfTrue="1" operator="equal">
      <formula>#REF!</formula>
    </cfRule>
  </conditionalFormatting>
  <conditionalFormatting sqref="I149:I155">
    <cfRule type="cellIs" dxfId="51" priority="11" stopIfTrue="1" operator="equal">
      <formula>#REF!</formula>
    </cfRule>
  </conditionalFormatting>
  <conditionalFormatting sqref="I159:I160">
    <cfRule type="cellIs" dxfId="50" priority="6" stopIfTrue="1" operator="equal">
      <formula>#REF!</formula>
    </cfRule>
  </conditionalFormatting>
  <pageMargins left="0.7" right="0.7" top="0.75" bottom="0.75" header="0.3" footer="0.3"/>
  <pageSetup scale="23" orientation="portrait" r:id="rId1"/>
  <rowBreaks count="2" manualBreakCount="2">
    <brk id="52" max="12" man="1"/>
    <brk id="129" max="12"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L49"/>
  <sheetViews>
    <sheetView view="pageBreakPreview" topLeftCell="A34" zoomScale="55" zoomScaleNormal="55" workbookViewId="0">
      <selection activeCell="I8" sqref="I8"/>
    </sheetView>
  </sheetViews>
  <sheetFormatPr defaultRowHeight="12.75" x14ac:dyDescent="0.2"/>
  <cols>
    <col min="1" max="1" width="24.7109375" customWidth="1"/>
    <col min="2" max="2" width="66.85546875" customWidth="1"/>
    <col min="4" max="5" width="9.7109375" customWidth="1"/>
    <col min="7" max="7" width="20" customWidth="1"/>
    <col min="8" max="8" width="20.140625" customWidth="1"/>
    <col min="9" max="9" width="11.28515625" customWidth="1"/>
    <col min="10" max="10" width="17.5703125" customWidth="1"/>
    <col min="11" max="11" width="20.85546875" customWidth="1"/>
    <col min="12" max="12" width="20.28515625" customWidth="1"/>
  </cols>
  <sheetData>
    <row r="1" spans="1:12" ht="51.75" customHeight="1" x14ac:dyDescent="0.2">
      <c r="A1" s="588" t="s">
        <v>319</v>
      </c>
      <c r="B1" s="590" t="s">
        <v>320</v>
      </c>
      <c r="C1" s="591"/>
      <c r="D1" s="591"/>
      <c r="E1" s="591"/>
      <c r="F1" s="591"/>
      <c r="G1" s="591"/>
      <c r="H1" s="591"/>
      <c r="I1" s="591"/>
      <c r="J1" s="591"/>
      <c r="K1" s="591"/>
      <c r="L1" s="592"/>
    </row>
    <row r="2" spans="1:12" ht="39.75" customHeight="1" x14ac:dyDescent="0.2">
      <c r="A2" s="589"/>
      <c r="B2" s="593" t="s">
        <v>321</v>
      </c>
      <c r="C2" s="594"/>
      <c r="D2" s="594"/>
      <c r="E2" s="594"/>
      <c r="F2" s="594"/>
      <c r="G2" s="594"/>
      <c r="H2" s="594"/>
      <c r="I2" s="594"/>
      <c r="J2" s="594"/>
      <c r="K2" s="595" t="s">
        <v>14</v>
      </c>
      <c r="L2" s="596"/>
    </row>
    <row r="3" spans="1:12" ht="18" x14ac:dyDescent="0.2">
      <c r="A3" s="597" t="s">
        <v>322</v>
      </c>
      <c r="B3" s="597"/>
      <c r="C3" s="597"/>
      <c r="D3" s="597"/>
      <c r="E3" s="597"/>
      <c r="F3" s="597"/>
      <c r="G3" s="597"/>
      <c r="H3" s="597"/>
      <c r="I3" s="597"/>
      <c r="J3" s="597"/>
      <c r="K3" s="597"/>
      <c r="L3" s="597"/>
    </row>
    <row r="4" spans="1:12" ht="41.25" customHeight="1" x14ac:dyDescent="0.2">
      <c r="A4" s="299" t="s">
        <v>323</v>
      </c>
      <c r="B4" s="300" t="s">
        <v>324</v>
      </c>
      <c r="C4" s="299" t="s">
        <v>19</v>
      </c>
      <c r="D4" s="299" t="s">
        <v>325</v>
      </c>
      <c r="E4" s="20" t="s">
        <v>302</v>
      </c>
      <c r="F4" s="20" t="s">
        <v>303</v>
      </c>
      <c r="G4" s="20" t="s">
        <v>304</v>
      </c>
      <c r="H4" s="301" t="s">
        <v>305</v>
      </c>
      <c r="I4" s="299" t="s">
        <v>326</v>
      </c>
      <c r="J4" s="299" t="s">
        <v>38</v>
      </c>
      <c r="K4" s="299" t="s">
        <v>327</v>
      </c>
      <c r="L4" s="299" t="s">
        <v>328</v>
      </c>
    </row>
    <row r="5" spans="1:12" ht="18" x14ac:dyDescent="0.25">
      <c r="A5" s="299"/>
      <c r="B5" s="302"/>
      <c r="C5" s="303"/>
      <c r="D5" s="303"/>
      <c r="E5" s="303"/>
      <c r="F5" s="303"/>
      <c r="G5" s="303"/>
      <c r="H5" s="304"/>
      <c r="I5" s="305"/>
      <c r="J5" s="306"/>
      <c r="K5" s="307"/>
      <c r="L5" s="308"/>
    </row>
    <row r="6" spans="1:12" ht="126" x14ac:dyDescent="0.25">
      <c r="A6" s="294">
        <v>2.1</v>
      </c>
      <c r="B6" s="292" t="s">
        <v>329</v>
      </c>
      <c r="C6" s="309"/>
      <c r="D6" s="309"/>
      <c r="E6" s="309"/>
      <c r="F6" s="309"/>
      <c r="G6" s="309"/>
      <c r="H6" s="309"/>
      <c r="I6" s="309"/>
      <c r="J6" s="309"/>
      <c r="K6" s="307"/>
      <c r="L6" s="308"/>
    </row>
    <row r="7" spans="1:12" ht="18" x14ac:dyDescent="0.25">
      <c r="A7" s="295" t="s">
        <v>330</v>
      </c>
      <c r="B7" s="292" t="s">
        <v>42</v>
      </c>
      <c r="C7" s="309" t="s">
        <v>98</v>
      </c>
      <c r="D7" s="309"/>
      <c r="E7" s="309"/>
      <c r="F7" s="309"/>
      <c r="G7" s="309"/>
      <c r="H7" s="352">
        <f>SUM(H8)</f>
        <v>40.5</v>
      </c>
      <c r="I7" s="309">
        <v>107</v>
      </c>
      <c r="J7" s="352">
        <f>I7*H7</f>
        <v>4333.5</v>
      </c>
      <c r="K7" s="310"/>
      <c r="L7" s="308"/>
    </row>
    <row r="8" spans="1:12" ht="18" x14ac:dyDescent="0.25">
      <c r="A8" s="295"/>
      <c r="B8" s="292" t="s">
        <v>331</v>
      </c>
      <c r="C8" s="309"/>
      <c r="D8" s="309">
        <f>300/2.5</f>
        <v>120</v>
      </c>
      <c r="E8" s="309">
        <f>0.45+0.3</f>
        <v>0.75</v>
      </c>
      <c r="F8" s="309">
        <f>0.45+0.3</f>
        <v>0.75</v>
      </c>
      <c r="G8" s="309">
        <v>0.6</v>
      </c>
      <c r="H8" s="309">
        <f>PRODUCT(D8:G8)</f>
        <v>40.5</v>
      </c>
      <c r="I8" s="309"/>
      <c r="J8" s="309">
        <f>I8*H8</f>
        <v>0</v>
      </c>
      <c r="K8" s="310"/>
      <c r="L8" s="308"/>
    </row>
    <row r="9" spans="1:12" s="7" customFormat="1" ht="84" x14ac:dyDescent="0.2">
      <c r="A9" s="5" t="s">
        <v>75</v>
      </c>
      <c r="B9" s="33" t="s">
        <v>76</v>
      </c>
      <c r="C9" s="3" t="s">
        <v>43</v>
      </c>
      <c r="D9" s="3"/>
      <c r="E9" s="3"/>
      <c r="F9" s="3"/>
      <c r="G9" s="3"/>
      <c r="H9" s="14">
        <f>SUM(H10)</f>
        <v>3.8025000000000002</v>
      </c>
      <c r="I9" s="99">
        <v>6833.4</v>
      </c>
      <c r="J9" s="352">
        <f>I9*H9</f>
        <v>25984.003499999999</v>
      </c>
      <c r="K9" s="99">
        <f>I9*H9</f>
        <v>25984.003499999999</v>
      </c>
      <c r="L9" s="6"/>
    </row>
    <row r="10" spans="1:12" s="7" customFormat="1" ht="21" x14ac:dyDescent="0.2">
      <c r="A10" s="5"/>
      <c r="B10" s="33" t="s">
        <v>332</v>
      </c>
      <c r="C10" s="3"/>
      <c r="D10" s="14">
        <f>D8</f>
        <v>120</v>
      </c>
      <c r="E10" s="14">
        <f>0.45+0.2</f>
        <v>0.65</v>
      </c>
      <c r="F10" s="14">
        <f>0.45+0.2</f>
        <v>0.65</v>
      </c>
      <c r="G10" s="14">
        <v>7.4999999999999997E-2</v>
      </c>
      <c r="H10" s="14">
        <f>PRODUCT(D10:G10)</f>
        <v>3.8025000000000002</v>
      </c>
      <c r="I10" s="99"/>
      <c r="J10" s="309">
        <f>I10*H10</f>
        <v>0</v>
      </c>
      <c r="K10" s="99"/>
      <c r="L10" s="6"/>
    </row>
    <row r="11" spans="1:12" s="7" customFormat="1" ht="21" x14ac:dyDescent="0.2">
      <c r="A11" s="5"/>
      <c r="B11" s="33"/>
      <c r="C11" s="3"/>
      <c r="D11" s="14"/>
      <c r="E11" s="14"/>
      <c r="F11" s="14"/>
      <c r="G11" s="14"/>
      <c r="H11" s="14"/>
      <c r="I11" s="99"/>
      <c r="J11" s="309"/>
      <c r="K11" s="99"/>
      <c r="L11" s="6"/>
    </row>
    <row r="12" spans="1:12" s="7" customFormat="1" ht="21" x14ac:dyDescent="0.2">
      <c r="A12" s="5"/>
      <c r="B12" s="33"/>
      <c r="C12" s="3"/>
      <c r="D12" s="14"/>
      <c r="E12" s="14"/>
      <c r="F12" s="14"/>
      <c r="G12" s="14"/>
      <c r="H12" s="14"/>
      <c r="I12" s="99"/>
      <c r="J12" s="309"/>
      <c r="K12" s="99"/>
      <c r="L12" s="6"/>
    </row>
    <row r="13" spans="1:12" s="7" customFormat="1" ht="21" x14ac:dyDescent="0.2">
      <c r="A13" s="5"/>
      <c r="B13" s="33"/>
      <c r="C13" s="3"/>
      <c r="D13" s="14"/>
      <c r="E13" s="14"/>
      <c r="F13" s="14"/>
      <c r="G13" s="14"/>
      <c r="H13" s="14"/>
      <c r="I13" s="99"/>
      <c r="J13" s="309"/>
      <c r="K13" s="99"/>
      <c r="L13" s="6"/>
    </row>
    <row r="14" spans="1:12" s="7" customFormat="1" ht="126" x14ac:dyDescent="0.2">
      <c r="A14" s="5">
        <v>2.25</v>
      </c>
      <c r="B14" s="33" t="s">
        <v>59</v>
      </c>
      <c r="C14" s="3" t="s">
        <v>60</v>
      </c>
      <c r="D14" s="14"/>
      <c r="E14" s="14"/>
      <c r="F14" s="14"/>
      <c r="G14" s="14"/>
      <c r="H14" s="14">
        <v>25</v>
      </c>
      <c r="I14" s="99">
        <v>253.95</v>
      </c>
      <c r="J14" s="352">
        <f>I14*H14</f>
        <v>6348.75</v>
      </c>
      <c r="K14" s="99"/>
      <c r="L14" s="6"/>
    </row>
    <row r="15" spans="1:12" s="7" customFormat="1" ht="21" x14ac:dyDescent="0.2">
      <c r="A15" s="5"/>
      <c r="B15" s="33"/>
      <c r="C15" s="3"/>
      <c r="D15" s="14"/>
      <c r="E15" s="14"/>
      <c r="F15" s="14"/>
      <c r="G15" s="14"/>
      <c r="H15" s="14"/>
      <c r="I15" s="99"/>
      <c r="J15" s="309"/>
      <c r="K15" s="99"/>
      <c r="L15" s="6"/>
    </row>
    <row r="16" spans="1:12" s="7" customFormat="1" ht="21" x14ac:dyDescent="0.2">
      <c r="A16" s="5"/>
      <c r="B16" s="33"/>
      <c r="C16" s="3"/>
      <c r="D16" s="14"/>
      <c r="E16" s="14"/>
      <c r="F16" s="14"/>
      <c r="G16" s="14"/>
      <c r="H16" s="14"/>
      <c r="I16" s="99"/>
      <c r="J16" s="309"/>
      <c r="K16" s="99"/>
      <c r="L16" s="6"/>
    </row>
    <row r="17" spans="1:12" s="7" customFormat="1" ht="202.5" x14ac:dyDescent="0.2">
      <c r="A17" s="32">
        <v>810</v>
      </c>
      <c r="B17" s="15" t="s">
        <v>308</v>
      </c>
      <c r="C17" s="3"/>
      <c r="D17" s="14"/>
      <c r="E17" s="14"/>
      <c r="F17" s="14"/>
      <c r="G17" s="14"/>
      <c r="H17" s="14">
        <v>25</v>
      </c>
      <c r="I17" s="99">
        <v>500</v>
      </c>
      <c r="J17" s="352">
        <f>I17*H17</f>
        <v>12500</v>
      </c>
      <c r="K17" s="99"/>
      <c r="L17" s="6"/>
    </row>
    <row r="18" spans="1:12" s="7" customFormat="1" ht="21" x14ac:dyDescent="0.2">
      <c r="A18" s="32">
        <v>810</v>
      </c>
      <c r="B18" s="33" t="s">
        <v>66</v>
      </c>
      <c r="C18" s="3" t="s">
        <v>60</v>
      </c>
      <c r="D18" s="14"/>
      <c r="E18" s="14"/>
      <c r="F18" s="14"/>
      <c r="G18" s="14"/>
      <c r="H18" s="14"/>
      <c r="I18" s="99"/>
      <c r="J18" s="309"/>
      <c r="K18" s="99"/>
      <c r="L18" s="6"/>
    </row>
    <row r="19" spans="1:12" s="7" customFormat="1" ht="21" x14ac:dyDescent="0.2">
      <c r="A19" s="5"/>
      <c r="B19" s="33"/>
      <c r="C19" s="3"/>
      <c r="D19" s="14"/>
      <c r="E19" s="14"/>
      <c r="F19" s="14"/>
      <c r="G19" s="14"/>
      <c r="H19" s="14"/>
      <c r="I19" s="99"/>
      <c r="J19" s="309">
        <f t="shared" ref="J19:J27" si="0">I19*H19</f>
        <v>0</v>
      </c>
      <c r="K19" s="99"/>
      <c r="L19" s="6"/>
    </row>
    <row r="20" spans="1:12" s="7" customFormat="1" ht="409.5" x14ac:dyDescent="0.2">
      <c r="A20" s="5">
        <v>5.33</v>
      </c>
      <c r="B20" s="33" t="s">
        <v>312</v>
      </c>
      <c r="C20" s="3"/>
      <c r="D20" s="3"/>
      <c r="E20" s="3"/>
      <c r="F20" s="3"/>
      <c r="G20" s="3"/>
      <c r="H20" s="14"/>
      <c r="I20" s="99"/>
      <c r="J20" s="309">
        <f t="shared" si="0"/>
        <v>0</v>
      </c>
      <c r="K20" s="99">
        <f>I20*H20</f>
        <v>0</v>
      </c>
      <c r="L20" s="6"/>
    </row>
    <row r="21" spans="1:12" s="7" customFormat="1" ht="21" x14ac:dyDescent="0.2">
      <c r="A21" s="5" t="s">
        <v>100</v>
      </c>
      <c r="B21" s="33" t="s">
        <v>101</v>
      </c>
      <c r="C21" s="3"/>
      <c r="D21" s="3"/>
      <c r="E21" s="3"/>
      <c r="F21" s="3"/>
      <c r="G21" s="3"/>
      <c r="H21" s="14"/>
      <c r="I21" s="99"/>
      <c r="J21" s="309">
        <f t="shared" si="0"/>
        <v>0</v>
      </c>
      <c r="K21" s="99">
        <f>I21*H21</f>
        <v>0</v>
      </c>
      <c r="L21" s="6"/>
    </row>
    <row r="22" spans="1:12" s="7" customFormat="1" ht="42" x14ac:dyDescent="0.2">
      <c r="A22" s="5" t="s">
        <v>102</v>
      </c>
      <c r="B22" s="33" t="s">
        <v>313</v>
      </c>
      <c r="C22" s="3" t="s">
        <v>43</v>
      </c>
      <c r="D22" s="3"/>
      <c r="E22" s="3"/>
      <c r="F22" s="3"/>
      <c r="G22" s="3" t="s">
        <v>309</v>
      </c>
      <c r="H22" s="14">
        <v>52.2</v>
      </c>
      <c r="I22" s="99">
        <v>7997.3</v>
      </c>
      <c r="J22" s="352">
        <f t="shared" si="0"/>
        <v>417459.06000000006</v>
      </c>
      <c r="K22" s="99">
        <f>I22*H22</f>
        <v>417459.06000000006</v>
      </c>
      <c r="L22" s="6"/>
    </row>
    <row r="23" spans="1:12" s="7" customFormat="1" ht="21" x14ac:dyDescent="0.2">
      <c r="A23" s="5"/>
      <c r="B23" s="33" t="s">
        <v>333</v>
      </c>
      <c r="C23" s="3"/>
      <c r="D23" s="99">
        <f>D8</f>
        <v>120</v>
      </c>
      <c r="E23" s="2">
        <v>0.45</v>
      </c>
      <c r="F23" s="2">
        <v>0.45</v>
      </c>
      <c r="G23" s="3">
        <v>0.5</v>
      </c>
      <c r="H23" s="14">
        <f>PRODUCT(D23:G23)</f>
        <v>12.15</v>
      </c>
      <c r="I23" s="99"/>
      <c r="J23" s="309">
        <f t="shared" si="0"/>
        <v>0</v>
      </c>
      <c r="K23" s="99"/>
      <c r="L23" s="6"/>
    </row>
    <row r="24" spans="1:12" s="7" customFormat="1" ht="21" customHeight="1" x14ac:dyDescent="0.2">
      <c r="A24" s="5"/>
      <c r="B24" s="33"/>
      <c r="C24" s="3"/>
      <c r="D24" s="99"/>
      <c r="E24" s="2"/>
      <c r="F24" s="2"/>
      <c r="G24" s="3"/>
      <c r="H24" s="14"/>
      <c r="I24" s="99"/>
      <c r="J24" s="309">
        <f t="shared" si="0"/>
        <v>0</v>
      </c>
      <c r="K24" s="99"/>
      <c r="L24" s="6"/>
    </row>
    <row r="25" spans="1:12" s="7" customFormat="1" ht="42" x14ac:dyDescent="0.2">
      <c r="A25" s="5">
        <v>5.9</v>
      </c>
      <c r="B25" s="33" t="s">
        <v>80</v>
      </c>
      <c r="C25" s="3"/>
      <c r="D25" s="3"/>
      <c r="E25" s="3"/>
      <c r="F25" s="3"/>
      <c r="G25" s="3"/>
      <c r="H25" s="14"/>
      <c r="I25" s="99"/>
      <c r="J25" s="309">
        <f t="shared" si="0"/>
        <v>0</v>
      </c>
      <c r="K25" s="99">
        <f>I25*H25</f>
        <v>0</v>
      </c>
      <c r="L25" s="6"/>
    </row>
    <row r="26" spans="1:12" s="7" customFormat="1" ht="105" x14ac:dyDescent="0.2">
      <c r="A26" s="5" t="s">
        <v>81</v>
      </c>
      <c r="B26" s="33" t="s">
        <v>310</v>
      </c>
      <c r="C26" s="3" t="s">
        <v>73</v>
      </c>
      <c r="D26" s="3"/>
      <c r="E26" s="3"/>
      <c r="F26" s="3"/>
      <c r="G26" s="3" t="s">
        <v>309</v>
      </c>
      <c r="H26" s="14">
        <f>SUM(H27:H27)</f>
        <v>108</v>
      </c>
      <c r="I26" s="99">
        <v>307.95</v>
      </c>
      <c r="J26" s="352">
        <f t="shared" si="0"/>
        <v>33258.6</v>
      </c>
      <c r="K26" s="99">
        <f>I26*H26</f>
        <v>33258.6</v>
      </c>
      <c r="L26" s="6"/>
    </row>
    <row r="27" spans="1:12" s="7" customFormat="1" ht="40.5" x14ac:dyDescent="0.2">
      <c r="A27" s="5"/>
      <c r="B27" s="12" t="str">
        <f>B31</f>
        <v>Concrete of M20 grade with minimum cement
content of 270 kg /cum</v>
      </c>
      <c r="C27" s="12"/>
      <c r="D27" s="40">
        <f>D23</f>
        <v>120</v>
      </c>
      <c r="E27" s="12">
        <f>0.45+0.45</f>
        <v>0.9</v>
      </c>
      <c r="F27" s="12">
        <v>2</v>
      </c>
      <c r="G27" s="12">
        <v>0.5</v>
      </c>
      <c r="H27" s="14">
        <f>PRODUCT(D27:G27)</f>
        <v>108</v>
      </c>
      <c r="I27" s="99"/>
      <c r="J27" s="309">
        <f t="shared" si="0"/>
        <v>0</v>
      </c>
      <c r="K27" s="99"/>
      <c r="L27" s="6"/>
    </row>
    <row r="28" spans="1:12" ht="18" x14ac:dyDescent="0.25">
      <c r="A28" s="295"/>
      <c r="B28" s="292"/>
      <c r="C28" s="309"/>
      <c r="D28" s="309"/>
      <c r="E28" s="309"/>
      <c r="F28" s="309"/>
      <c r="G28" s="309"/>
      <c r="H28" s="309"/>
      <c r="I28" s="309"/>
      <c r="J28" s="309"/>
      <c r="K28" s="310"/>
      <c r="L28" s="308"/>
    </row>
    <row r="29" spans="1:12" ht="409.5" x14ac:dyDescent="0.25">
      <c r="A29" s="296">
        <v>4.2</v>
      </c>
      <c r="B29" s="292" t="s">
        <v>93</v>
      </c>
      <c r="C29" s="309"/>
      <c r="D29" s="309"/>
      <c r="E29" s="309"/>
      <c r="F29" s="309"/>
      <c r="G29" s="309"/>
      <c r="H29" s="309"/>
      <c r="I29" s="309"/>
      <c r="J29" s="309"/>
      <c r="K29" s="307"/>
      <c r="L29" s="308"/>
    </row>
    <row r="30" spans="1:12" ht="18" x14ac:dyDescent="0.25">
      <c r="A30" s="297" t="s">
        <v>94</v>
      </c>
      <c r="B30" s="292" t="s">
        <v>95</v>
      </c>
      <c r="C30" s="309"/>
      <c r="D30" s="309"/>
      <c r="E30" s="309"/>
      <c r="F30" s="309"/>
      <c r="G30" s="309"/>
      <c r="H30" s="309"/>
      <c r="I30" s="309"/>
      <c r="J30" s="309"/>
      <c r="K30" s="307"/>
      <c r="L30" s="308"/>
    </row>
    <row r="31" spans="1:12" ht="36" x14ac:dyDescent="0.25">
      <c r="A31" s="297" t="s">
        <v>96</v>
      </c>
      <c r="B31" s="292" t="s">
        <v>97</v>
      </c>
      <c r="C31" s="309" t="s">
        <v>98</v>
      </c>
      <c r="D31" s="309"/>
      <c r="E31" s="309"/>
      <c r="F31" s="309"/>
      <c r="G31" s="309"/>
      <c r="H31" s="309">
        <v>24</v>
      </c>
      <c r="I31" s="309">
        <v>8387.15</v>
      </c>
      <c r="J31" s="352">
        <f>I31*H31</f>
        <v>201291.59999999998</v>
      </c>
      <c r="K31" s="310"/>
      <c r="L31" s="308"/>
    </row>
    <row r="32" spans="1:12" ht="72" x14ac:dyDescent="0.25">
      <c r="A32" s="322">
        <v>1.1000000000000001</v>
      </c>
      <c r="B32" s="311" t="s">
        <v>61</v>
      </c>
      <c r="C32" s="312"/>
      <c r="D32" s="312"/>
      <c r="E32" s="312"/>
      <c r="F32" s="312"/>
      <c r="G32" s="312"/>
      <c r="H32" s="313"/>
      <c r="I32" s="309"/>
      <c r="J32" s="309"/>
      <c r="K32" s="310"/>
      <c r="L32" s="308"/>
    </row>
    <row r="33" spans="1:12" ht="18" x14ac:dyDescent="0.25">
      <c r="A33" s="322" t="s">
        <v>62</v>
      </c>
      <c r="B33" s="311" t="s">
        <v>63</v>
      </c>
      <c r="C33" s="314" t="s">
        <v>60</v>
      </c>
      <c r="D33" s="314"/>
      <c r="E33" s="314"/>
      <c r="F33" s="314"/>
      <c r="G33" s="314"/>
      <c r="H33" s="352">
        <v>48</v>
      </c>
      <c r="I33" s="309">
        <v>271.45</v>
      </c>
      <c r="J33" s="352">
        <v>13029.6</v>
      </c>
      <c r="K33" s="310"/>
      <c r="L33" s="308"/>
    </row>
    <row r="34" spans="1:12" ht="18" x14ac:dyDescent="0.25">
      <c r="A34" s="297"/>
      <c r="B34" s="292"/>
      <c r="C34" s="309"/>
      <c r="D34" s="309"/>
      <c r="E34" s="309"/>
      <c r="F34" s="309"/>
      <c r="G34" s="309"/>
      <c r="H34" s="309"/>
      <c r="I34" s="309"/>
      <c r="J34" s="309"/>
      <c r="K34" s="310"/>
      <c r="L34" s="308"/>
    </row>
    <row r="35" spans="1:12" ht="126" x14ac:dyDescent="0.25">
      <c r="A35" s="293">
        <v>16.7</v>
      </c>
      <c r="B35" s="292" t="s">
        <v>334</v>
      </c>
      <c r="C35" s="308"/>
      <c r="D35" s="308"/>
      <c r="E35" s="308"/>
      <c r="F35" s="308"/>
      <c r="G35" s="308"/>
      <c r="H35" s="309"/>
      <c r="I35" s="308"/>
      <c r="J35" s="309"/>
      <c r="K35" s="310"/>
      <c r="L35" s="308"/>
    </row>
    <row r="36" spans="1:12" ht="18" x14ac:dyDescent="0.25">
      <c r="A36" s="293" t="s">
        <v>221</v>
      </c>
      <c r="B36" s="292" t="s">
        <v>335</v>
      </c>
      <c r="C36" s="309" t="s">
        <v>73</v>
      </c>
      <c r="D36" s="309"/>
      <c r="E36" s="309">
        <v>300</v>
      </c>
      <c r="F36" s="309"/>
      <c r="G36" s="309">
        <v>1.9</v>
      </c>
      <c r="H36" s="309">
        <f>PRODUCT(D36:G36)</f>
        <v>570</v>
      </c>
      <c r="I36" s="309">
        <v>859.5</v>
      </c>
      <c r="J36" s="352">
        <f>H36*I36</f>
        <v>489915</v>
      </c>
      <c r="K36" s="310"/>
      <c r="L36" s="353"/>
    </row>
    <row r="37" spans="1:12" ht="18" x14ac:dyDescent="0.25">
      <c r="A37" s="293"/>
      <c r="B37" s="292"/>
      <c r="C37" s="309"/>
      <c r="D37" s="309"/>
      <c r="E37" s="309"/>
      <c r="F37" s="309"/>
      <c r="G37" s="309"/>
      <c r="H37" s="309"/>
      <c r="I37" s="309"/>
      <c r="J37" s="309"/>
      <c r="K37" s="310"/>
      <c r="L37" s="308"/>
    </row>
    <row r="38" spans="1:12" ht="108" x14ac:dyDescent="0.25">
      <c r="A38" s="325">
        <v>13.52</v>
      </c>
      <c r="B38" s="323" t="s">
        <v>242</v>
      </c>
      <c r="C38" s="324"/>
      <c r="D38" s="324"/>
      <c r="E38" s="324"/>
      <c r="F38" s="324"/>
      <c r="G38" s="324"/>
      <c r="H38" s="309"/>
      <c r="I38" s="309"/>
      <c r="J38" s="309"/>
      <c r="K38" s="310"/>
      <c r="L38" s="308"/>
    </row>
    <row r="39" spans="1:12" ht="18" x14ac:dyDescent="0.25">
      <c r="A39" s="325" t="s">
        <v>243</v>
      </c>
      <c r="B39" s="323" t="s">
        <v>244</v>
      </c>
      <c r="C39" s="324" t="s">
        <v>73</v>
      </c>
      <c r="D39" s="324"/>
      <c r="E39" s="324"/>
      <c r="F39" s="324"/>
      <c r="G39" s="324"/>
      <c r="H39" s="309">
        <f>H36</f>
        <v>570</v>
      </c>
      <c r="I39" s="309">
        <v>201.7</v>
      </c>
      <c r="J39" s="352">
        <f t="shared" ref="J39:J47" si="1">I39*H39</f>
        <v>114969</v>
      </c>
      <c r="K39" s="310"/>
      <c r="L39" s="308"/>
    </row>
    <row r="40" spans="1:12" ht="18" x14ac:dyDescent="0.25">
      <c r="A40" s="293"/>
      <c r="B40" s="292"/>
      <c r="C40" s="309"/>
      <c r="D40" s="309"/>
      <c r="E40" s="309"/>
      <c r="F40" s="309"/>
      <c r="G40" s="309"/>
      <c r="H40" s="309"/>
      <c r="I40" s="309"/>
      <c r="J40" s="309">
        <f t="shared" si="1"/>
        <v>0</v>
      </c>
      <c r="K40" s="310"/>
      <c r="L40" s="308"/>
    </row>
    <row r="41" spans="1:12" ht="18" x14ac:dyDescent="0.25">
      <c r="A41" s="293"/>
      <c r="B41" s="298" t="s">
        <v>138</v>
      </c>
      <c r="C41" s="309"/>
      <c r="D41" s="309"/>
      <c r="E41" s="309"/>
      <c r="F41" s="309"/>
      <c r="G41" s="309"/>
      <c r="H41" s="309"/>
      <c r="I41" s="309"/>
      <c r="J41" s="309">
        <f t="shared" si="1"/>
        <v>0</v>
      </c>
      <c r="K41" s="307"/>
      <c r="L41" s="308"/>
    </row>
    <row r="42" spans="1:12" ht="36" x14ac:dyDescent="0.25">
      <c r="A42" s="295">
        <v>1</v>
      </c>
      <c r="B42" s="292" t="s">
        <v>245</v>
      </c>
      <c r="C42" s="309" t="s">
        <v>246</v>
      </c>
      <c r="D42" s="309"/>
      <c r="E42" s="309"/>
      <c r="F42" s="309"/>
      <c r="G42" s="309"/>
      <c r="H42" s="309">
        <v>300</v>
      </c>
      <c r="I42" s="309">
        <v>250</v>
      </c>
      <c r="J42" s="352">
        <f t="shared" si="1"/>
        <v>75000</v>
      </c>
      <c r="K42" s="307"/>
      <c r="L42" s="308"/>
    </row>
    <row r="43" spans="1:12" ht="36" x14ac:dyDescent="0.25">
      <c r="A43" s="295" t="s">
        <v>226</v>
      </c>
      <c r="B43" s="292" t="s">
        <v>247</v>
      </c>
      <c r="C43" s="309" t="s">
        <v>248</v>
      </c>
      <c r="D43" s="309"/>
      <c r="E43" s="309"/>
      <c r="F43" s="309"/>
      <c r="G43" s="309"/>
      <c r="H43" s="309"/>
      <c r="I43" s="309">
        <v>300</v>
      </c>
      <c r="J43" s="309">
        <f t="shared" si="1"/>
        <v>0</v>
      </c>
      <c r="K43" s="307"/>
      <c r="L43" s="308"/>
    </row>
    <row r="44" spans="1:12" ht="36" x14ac:dyDescent="0.25">
      <c r="A44" s="295">
        <v>2</v>
      </c>
      <c r="B44" s="292" t="s">
        <v>249</v>
      </c>
      <c r="C44" s="309" t="s">
        <v>250</v>
      </c>
      <c r="D44" s="309"/>
      <c r="E44" s="309"/>
      <c r="F44" s="309"/>
      <c r="G44" s="309"/>
      <c r="H44" s="309">
        <v>900</v>
      </c>
      <c r="I44" s="309">
        <v>130</v>
      </c>
      <c r="J44" s="352">
        <f t="shared" si="1"/>
        <v>117000</v>
      </c>
      <c r="K44" s="307"/>
      <c r="L44" s="308"/>
    </row>
    <row r="45" spans="1:12" ht="36" x14ac:dyDescent="0.25">
      <c r="A45" s="295" t="s">
        <v>251</v>
      </c>
      <c r="B45" s="292" t="s">
        <v>252</v>
      </c>
      <c r="C45" s="309" t="s">
        <v>218</v>
      </c>
      <c r="D45" s="309"/>
      <c r="E45" s="309"/>
      <c r="F45" s="309"/>
      <c r="G45" s="309"/>
      <c r="H45" s="309"/>
      <c r="I45" s="309">
        <v>180</v>
      </c>
      <c r="J45" s="309">
        <f t="shared" si="1"/>
        <v>0</v>
      </c>
      <c r="K45" s="307"/>
      <c r="L45" s="308"/>
    </row>
    <row r="46" spans="1:12" ht="18" x14ac:dyDescent="0.25">
      <c r="A46" s="295">
        <v>3</v>
      </c>
      <c r="B46" s="292" t="s">
        <v>253</v>
      </c>
      <c r="C46" s="309" t="s">
        <v>250</v>
      </c>
      <c r="D46" s="309"/>
      <c r="E46" s="309"/>
      <c r="F46" s="309"/>
      <c r="G46" s="309"/>
      <c r="H46" s="309">
        <v>3348</v>
      </c>
      <c r="I46" s="309">
        <v>130</v>
      </c>
      <c r="J46" s="309">
        <f t="shared" si="1"/>
        <v>435240</v>
      </c>
      <c r="K46" s="307"/>
      <c r="L46" s="308"/>
    </row>
    <row r="47" spans="1:12" ht="36" x14ac:dyDescent="0.25">
      <c r="A47" s="295" t="s">
        <v>254</v>
      </c>
      <c r="B47" s="292" t="s">
        <v>255</v>
      </c>
      <c r="C47" s="309" t="s">
        <v>218</v>
      </c>
      <c r="D47" s="309"/>
      <c r="E47" s="309"/>
      <c r="F47" s="309"/>
      <c r="G47" s="309"/>
      <c r="H47" s="309"/>
      <c r="I47" s="309">
        <v>180</v>
      </c>
      <c r="J47" s="309">
        <f t="shared" si="1"/>
        <v>0</v>
      </c>
      <c r="K47" s="307"/>
      <c r="L47" s="308"/>
    </row>
    <row r="48" spans="1:12" ht="18" x14ac:dyDescent="0.25">
      <c r="A48" s="587" t="s">
        <v>336</v>
      </c>
      <c r="B48" s="587"/>
      <c r="C48" s="299"/>
      <c r="D48" s="299"/>
      <c r="E48" s="299"/>
      <c r="F48" s="299"/>
      <c r="G48" s="299"/>
      <c r="H48" s="315"/>
      <c r="I48" s="316"/>
      <c r="J48" s="315">
        <f>SUM(J6:J47)</f>
        <v>1946329.1135</v>
      </c>
      <c r="K48" s="307"/>
      <c r="L48" s="308"/>
    </row>
    <row r="49" spans="1:12" ht="18" x14ac:dyDescent="0.25">
      <c r="A49" s="317"/>
      <c r="B49" s="318"/>
      <c r="C49" s="318"/>
      <c r="D49" s="318"/>
      <c r="E49" s="318"/>
      <c r="F49" s="318"/>
      <c r="G49" s="318"/>
      <c r="H49" s="319"/>
      <c r="I49" s="318"/>
      <c r="J49" s="318"/>
      <c r="K49" s="320"/>
      <c r="L49" s="321"/>
    </row>
  </sheetData>
  <autoFilter ref="A5:L27"/>
  <mergeCells count="6">
    <mergeCell ref="A48:B48"/>
    <mergeCell ref="A1:A2"/>
    <mergeCell ref="B1:L1"/>
    <mergeCell ref="B2:J2"/>
    <mergeCell ref="K2:L2"/>
    <mergeCell ref="A3:L3"/>
  </mergeCells>
  <phoneticPr fontId="1" type="noConversion"/>
  <conditionalFormatting sqref="B17">
    <cfRule type="cellIs" dxfId="49" priority="1" stopIfTrue="1" operator="equal">
      <formula>#REF!</formula>
    </cfRule>
  </conditionalFormatting>
  <pageMargins left="0.7" right="0.7" top="0.75" bottom="0.75" header="0.3" footer="0.3"/>
  <pageSetup scale="37"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N65"/>
  <sheetViews>
    <sheetView view="pageBreakPreview" zoomScale="55" zoomScaleNormal="55" workbookViewId="0">
      <selection activeCell="I8" sqref="I8"/>
    </sheetView>
  </sheetViews>
  <sheetFormatPr defaultColWidth="9.140625" defaultRowHeight="12.75" x14ac:dyDescent="0.2"/>
  <cols>
    <col min="1" max="1" width="13.85546875" style="7" customWidth="1"/>
    <col min="2" max="2" width="90.28515625" style="105" customWidth="1"/>
    <col min="3" max="7" width="14.42578125" style="7" customWidth="1"/>
    <col min="8" max="8" width="20.85546875" style="56" customWidth="1"/>
    <col min="9" max="9" width="15.42578125" style="166" customWidth="1"/>
    <col min="10" max="10" width="22" style="182" hidden="1" customWidth="1"/>
    <col min="11" max="11" width="24" style="166" customWidth="1"/>
    <col min="12" max="12" width="23.85546875" style="7" customWidth="1"/>
    <col min="13" max="13" width="40.7109375" style="7" customWidth="1"/>
    <col min="14" max="14" width="9.140625" style="7" customWidth="1"/>
    <col min="15" max="16384" width="9.140625" style="7"/>
  </cols>
  <sheetData>
    <row r="1" spans="1:13" ht="144" customHeight="1" x14ac:dyDescent="0.2">
      <c r="A1" s="598"/>
      <c r="B1" s="598"/>
      <c r="C1" s="598"/>
      <c r="D1" s="598"/>
      <c r="E1" s="598"/>
      <c r="F1" s="598"/>
      <c r="G1" s="598"/>
      <c r="H1" s="598"/>
      <c r="I1" s="598"/>
      <c r="J1" s="598"/>
      <c r="K1" s="598"/>
      <c r="L1" s="598"/>
      <c r="M1" s="599"/>
    </row>
    <row r="2" spans="1:13" ht="89.25" customHeight="1" x14ac:dyDescent="0.2">
      <c r="A2" s="209"/>
      <c r="B2" s="600" t="s">
        <v>13</v>
      </c>
      <c r="C2" s="601"/>
      <c r="D2" s="601"/>
      <c r="E2" s="601"/>
      <c r="F2" s="601"/>
      <c r="G2" s="601"/>
      <c r="H2" s="601"/>
      <c r="I2" s="601"/>
      <c r="J2" s="601"/>
      <c r="K2" s="601"/>
      <c r="L2" s="566" t="s">
        <v>14</v>
      </c>
      <c r="M2" s="567"/>
    </row>
    <row r="3" spans="1:13" ht="20.25" x14ac:dyDescent="0.2">
      <c r="A3" s="602"/>
      <c r="B3" s="602"/>
      <c r="C3" s="602"/>
      <c r="D3" s="602"/>
      <c r="E3" s="602"/>
      <c r="F3" s="602"/>
      <c r="G3" s="602"/>
      <c r="H3" s="602"/>
      <c r="I3" s="602"/>
      <c r="J3" s="602"/>
      <c r="K3" s="602"/>
      <c r="L3" s="602"/>
      <c r="M3" s="603"/>
    </row>
    <row r="4" spans="1:13" ht="20.25" x14ac:dyDescent="0.2">
      <c r="A4" s="604"/>
      <c r="B4" s="604"/>
      <c r="C4" s="604"/>
      <c r="D4" s="604"/>
      <c r="E4" s="604"/>
      <c r="F4" s="604"/>
      <c r="G4" s="604"/>
      <c r="H4" s="604"/>
      <c r="I4" s="604"/>
      <c r="J4" s="604"/>
      <c r="K4" s="604"/>
      <c r="L4" s="604"/>
      <c r="M4" s="605"/>
    </row>
    <row r="5" spans="1:13" ht="60.75" x14ac:dyDescent="0.2">
      <c r="A5" s="64" t="s">
        <v>17</v>
      </c>
      <c r="B5" s="102" t="s">
        <v>18</v>
      </c>
      <c r="C5" s="19" t="s">
        <v>19</v>
      </c>
      <c r="D5" s="20" t="s">
        <v>180</v>
      </c>
      <c r="E5" s="20" t="s">
        <v>302</v>
      </c>
      <c r="F5" s="20" t="s">
        <v>303</v>
      </c>
      <c r="G5" s="20" t="s">
        <v>304</v>
      </c>
      <c r="H5" s="21" t="s">
        <v>305</v>
      </c>
      <c r="I5" s="170" t="s">
        <v>37</v>
      </c>
      <c r="J5" s="175" t="s">
        <v>306</v>
      </c>
      <c r="K5" s="21" t="s">
        <v>38</v>
      </c>
      <c r="L5" s="22" t="s">
        <v>39</v>
      </c>
      <c r="M5" s="23" t="s">
        <v>40</v>
      </c>
    </row>
    <row r="6" spans="1:13" ht="22.5" x14ac:dyDescent="0.2">
      <c r="A6" s="65"/>
      <c r="B6" s="103"/>
      <c r="C6" s="20"/>
      <c r="D6" s="20"/>
      <c r="E6" s="20"/>
      <c r="F6" s="20"/>
      <c r="G6" s="20"/>
      <c r="H6" s="26"/>
      <c r="I6" s="101"/>
      <c r="J6" s="190"/>
      <c r="K6" s="26"/>
      <c r="L6" s="6"/>
      <c r="M6" s="27"/>
    </row>
    <row r="7" spans="1:13" ht="164.25" customHeight="1" x14ac:dyDescent="0.2">
      <c r="A7" s="5">
        <v>2.6</v>
      </c>
      <c r="B7" s="33" t="s">
        <v>41</v>
      </c>
      <c r="C7" s="3"/>
      <c r="D7" s="3"/>
      <c r="E7" s="3"/>
      <c r="F7" s="3"/>
      <c r="G7" s="3"/>
      <c r="H7" s="14"/>
      <c r="I7" s="99"/>
      <c r="J7" s="177"/>
      <c r="K7" s="99"/>
      <c r="L7" s="6"/>
      <c r="M7" s="27"/>
    </row>
    <row r="8" spans="1:13" ht="21" x14ac:dyDescent="0.2">
      <c r="A8" s="5"/>
      <c r="B8" s="33" t="s">
        <v>42</v>
      </c>
      <c r="C8" s="3" t="s">
        <v>43</v>
      </c>
      <c r="D8" s="3"/>
      <c r="E8" s="3"/>
      <c r="F8" s="3"/>
      <c r="G8" s="3"/>
      <c r="H8" s="14">
        <f>SUM(H9:H9)</f>
        <v>13.608000000000002</v>
      </c>
      <c r="I8" s="99">
        <v>205.45</v>
      </c>
      <c r="J8" s="177">
        <v>215.04451499999999</v>
      </c>
      <c r="K8" s="354">
        <f>I8*H8</f>
        <v>2795.7636000000002</v>
      </c>
      <c r="L8" s="6"/>
      <c r="M8" s="27"/>
    </row>
    <row r="9" spans="1:13" ht="21" x14ac:dyDescent="0.2">
      <c r="A9" s="5"/>
      <c r="B9" s="33"/>
      <c r="C9" s="3"/>
      <c r="D9" s="14"/>
      <c r="E9" s="14">
        <f>3+0.6</f>
        <v>3.6</v>
      </c>
      <c r="F9" s="14">
        <f>3+0.6</f>
        <v>3.6</v>
      </c>
      <c r="G9" s="14">
        <v>1.05</v>
      </c>
      <c r="H9" s="14">
        <f>PRODUCT(D9:G9)</f>
        <v>13.608000000000002</v>
      </c>
      <c r="I9" s="99"/>
      <c r="J9" s="177"/>
      <c r="K9" s="99"/>
      <c r="L9" s="6"/>
      <c r="M9" s="27"/>
    </row>
    <row r="10" spans="1:13" ht="21" x14ac:dyDescent="0.2">
      <c r="A10" s="5"/>
      <c r="B10" s="33"/>
      <c r="C10" s="3"/>
      <c r="D10" s="14"/>
      <c r="E10" s="14"/>
      <c r="F10" s="14"/>
      <c r="G10" s="14"/>
      <c r="H10" s="14"/>
      <c r="I10" s="99"/>
      <c r="J10" s="177"/>
      <c r="K10" s="99"/>
      <c r="L10" s="6"/>
      <c r="M10" s="27"/>
    </row>
    <row r="11" spans="1:13" ht="171.75" customHeight="1" x14ac:dyDescent="0.2">
      <c r="A11" s="5">
        <v>2.7</v>
      </c>
      <c r="B11" s="33" t="s">
        <v>44</v>
      </c>
      <c r="C11" s="3"/>
      <c r="D11" s="3"/>
      <c r="E11" s="3"/>
      <c r="F11" s="3"/>
      <c r="G11" s="3"/>
      <c r="H11" s="14"/>
      <c r="I11" s="99"/>
      <c r="J11" s="177">
        <v>0</v>
      </c>
      <c r="K11" s="99">
        <f t="shared" ref="K11:K19" si="0">I11*H11</f>
        <v>0</v>
      </c>
      <c r="L11" s="6"/>
      <c r="M11" s="27"/>
    </row>
    <row r="12" spans="1:13" ht="21" x14ac:dyDescent="0.2">
      <c r="A12" s="5" t="s">
        <v>45</v>
      </c>
      <c r="B12" s="33" t="s">
        <v>46</v>
      </c>
      <c r="C12" s="3" t="s">
        <v>43</v>
      </c>
      <c r="D12" s="3"/>
      <c r="E12" s="3"/>
      <c r="F12" s="3"/>
      <c r="G12" s="3"/>
      <c r="H12" s="14"/>
      <c r="I12" s="99">
        <v>412.95</v>
      </c>
      <c r="J12" s="177">
        <v>215.023065</v>
      </c>
      <c r="K12" s="99">
        <f t="shared" si="0"/>
        <v>0</v>
      </c>
      <c r="L12" s="6"/>
      <c r="M12" s="27"/>
    </row>
    <row r="13" spans="1:13" ht="40.5" x14ac:dyDescent="0.2">
      <c r="A13" s="29">
        <v>2.2599999999999998</v>
      </c>
      <c r="B13" s="30" t="s">
        <v>47</v>
      </c>
      <c r="C13" s="31"/>
      <c r="D13" s="31"/>
      <c r="E13" s="31"/>
      <c r="F13" s="31"/>
      <c r="G13" s="31"/>
      <c r="H13" s="14"/>
      <c r="I13" s="99"/>
      <c r="J13" s="177">
        <v>0</v>
      </c>
      <c r="K13" s="99">
        <f t="shared" si="0"/>
        <v>0</v>
      </c>
      <c r="L13" s="6"/>
      <c r="M13" s="27"/>
    </row>
    <row r="14" spans="1:13" ht="20.25" x14ac:dyDescent="0.2">
      <c r="A14" s="29" t="s">
        <v>48</v>
      </c>
      <c r="B14" s="30" t="s">
        <v>49</v>
      </c>
      <c r="C14" s="31" t="s">
        <v>50</v>
      </c>
      <c r="D14" s="31"/>
      <c r="E14" s="31"/>
      <c r="F14" s="31"/>
      <c r="G14" s="31"/>
      <c r="H14" s="14"/>
      <c r="I14" s="178">
        <v>105</v>
      </c>
      <c r="J14" s="177">
        <v>91.845050000000001</v>
      </c>
      <c r="K14" s="99">
        <f t="shared" si="0"/>
        <v>0</v>
      </c>
      <c r="L14" s="6"/>
      <c r="M14" s="27"/>
    </row>
    <row r="15" spans="1:13" ht="20.25" x14ac:dyDescent="0.2">
      <c r="A15" s="29" t="s">
        <v>51</v>
      </c>
      <c r="B15" s="30" t="s">
        <v>52</v>
      </c>
      <c r="C15" s="31" t="s">
        <v>50</v>
      </c>
      <c r="D15" s="31"/>
      <c r="E15" s="31"/>
      <c r="F15" s="31"/>
      <c r="G15" s="31"/>
      <c r="H15" s="14"/>
      <c r="I15" s="178">
        <v>187</v>
      </c>
      <c r="J15" s="177">
        <v>182.56507999999999</v>
      </c>
      <c r="K15" s="99">
        <f t="shared" si="0"/>
        <v>0</v>
      </c>
      <c r="L15" s="6"/>
      <c r="M15" s="27"/>
    </row>
    <row r="16" spans="1:13" ht="245.25" customHeight="1" x14ac:dyDescent="0.2">
      <c r="A16" s="5">
        <v>2.13</v>
      </c>
      <c r="B16" s="33" t="s">
        <v>53</v>
      </c>
      <c r="C16" s="3"/>
      <c r="D16" s="3"/>
      <c r="E16" s="3"/>
      <c r="F16" s="3"/>
      <c r="G16" s="3"/>
      <c r="H16" s="14"/>
      <c r="I16" s="99"/>
      <c r="J16" s="177">
        <v>0</v>
      </c>
      <c r="K16" s="99">
        <f t="shared" si="0"/>
        <v>0</v>
      </c>
      <c r="L16" s="6"/>
      <c r="M16" s="27"/>
    </row>
    <row r="17" spans="1:13" ht="37.5" customHeight="1" x14ac:dyDescent="0.2">
      <c r="A17" s="5" t="s">
        <v>54</v>
      </c>
      <c r="B17" s="33" t="s">
        <v>55</v>
      </c>
      <c r="C17" s="3" t="s">
        <v>56</v>
      </c>
      <c r="D17" s="3"/>
      <c r="E17" s="3"/>
      <c r="F17" s="3"/>
      <c r="G17" s="3"/>
      <c r="H17" s="14"/>
      <c r="I17" s="99">
        <v>933.35</v>
      </c>
      <c r="J17" s="177">
        <v>616.01099999999997</v>
      </c>
      <c r="K17" s="99">
        <f t="shared" si="0"/>
        <v>0</v>
      </c>
      <c r="L17" s="6"/>
      <c r="M17" s="27"/>
    </row>
    <row r="18" spans="1:13" ht="21" x14ac:dyDescent="0.2">
      <c r="A18" s="5" t="s">
        <v>57</v>
      </c>
      <c r="B18" s="33" t="s">
        <v>58</v>
      </c>
      <c r="C18" s="3" t="s">
        <v>56</v>
      </c>
      <c r="D18" s="3"/>
      <c r="E18" s="3"/>
      <c r="F18" s="3"/>
      <c r="G18" s="3"/>
      <c r="H18" s="14"/>
      <c r="I18" s="99">
        <v>1074</v>
      </c>
      <c r="J18" s="177">
        <v>873.59159999999997</v>
      </c>
      <c r="K18" s="99">
        <f t="shared" si="0"/>
        <v>0</v>
      </c>
      <c r="L18" s="6"/>
      <c r="M18" s="27"/>
    </row>
    <row r="19" spans="1:13" ht="142.5" customHeight="1" x14ac:dyDescent="0.2">
      <c r="A19" s="5">
        <v>2.25</v>
      </c>
      <c r="B19" s="33" t="s">
        <v>59</v>
      </c>
      <c r="C19" s="3" t="s">
        <v>60</v>
      </c>
      <c r="D19" s="3"/>
      <c r="E19" s="3"/>
      <c r="F19" s="3"/>
      <c r="G19" s="3"/>
      <c r="H19" s="14">
        <f>SUM(H20:H23)/2</f>
        <v>5.9460000000000015</v>
      </c>
      <c r="I19" s="99">
        <v>253.95</v>
      </c>
      <c r="J19" s="177">
        <v>182.56465499999999</v>
      </c>
      <c r="K19" s="354">
        <f t="shared" si="0"/>
        <v>1509.9867000000004</v>
      </c>
      <c r="L19" s="6"/>
      <c r="M19" s="27"/>
    </row>
    <row r="20" spans="1:13" ht="39" customHeight="1" x14ac:dyDescent="0.2">
      <c r="A20" s="5"/>
      <c r="B20" s="33"/>
      <c r="C20" s="3"/>
      <c r="D20" s="3"/>
      <c r="E20" s="3"/>
      <c r="F20" s="3"/>
      <c r="G20" s="14">
        <f>H8</f>
        <v>13.608000000000002</v>
      </c>
      <c r="H20" s="14">
        <f>PRODUCT(G20)</f>
        <v>13.608000000000002</v>
      </c>
      <c r="I20" s="99"/>
      <c r="J20" s="177"/>
      <c r="K20" s="99"/>
      <c r="L20" s="6"/>
      <c r="M20" s="27"/>
    </row>
    <row r="21" spans="1:13" ht="21" x14ac:dyDescent="0.2">
      <c r="A21" s="5"/>
      <c r="B21" s="33" t="s">
        <v>337</v>
      </c>
      <c r="C21" s="3"/>
      <c r="D21" s="3"/>
      <c r="E21" s="3"/>
      <c r="F21" s="3"/>
      <c r="G21" s="14">
        <f>-H37</f>
        <v>-1.7160000000000002</v>
      </c>
      <c r="H21" s="14">
        <f>PRODUCT(G21)</f>
        <v>-1.7160000000000002</v>
      </c>
      <c r="I21" s="99"/>
      <c r="J21" s="177"/>
      <c r="K21" s="99"/>
      <c r="L21" s="6"/>
      <c r="M21" s="27"/>
    </row>
    <row r="22" spans="1:13" ht="21" x14ac:dyDescent="0.2">
      <c r="A22" s="5"/>
      <c r="B22" s="33"/>
      <c r="C22" s="3"/>
      <c r="D22" s="3"/>
      <c r="E22" s="3"/>
      <c r="F22" s="3"/>
      <c r="G22" s="14"/>
      <c r="H22" s="14"/>
      <c r="I22" s="99"/>
      <c r="J22" s="177"/>
      <c r="K22" s="99"/>
      <c r="L22" s="6"/>
      <c r="M22" s="27"/>
    </row>
    <row r="23" spans="1:13" ht="21" x14ac:dyDescent="0.2">
      <c r="A23" s="5"/>
      <c r="B23" s="33"/>
      <c r="C23" s="3"/>
      <c r="D23" s="3"/>
      <c r="E23" s="3"/>
      <c r="F23" s="3"/>
      <c r="G23" s="14"/>
      <c r="H23" s="14"/>
      <c r="I23" s="99"/>
      <c r="J23" s="177"/>
      <c r="K23" s="99"/>
      <c r="L23" s="6"/>
      <c r="M23" s="27"/>
    </row>
    <row r="24" spans="1:13" ht="63" x14ac:dyDescent="0.2">
      <c r="A24" s="5">
        <v>1.1000000000000001</v>
      </c>
      <c r="B24" s="33" t="s">
        <v>61</v>
      </c>
      <c r="C24" s="6"/>
      <c r="D24" s="6"/>
      <c r="E24" s="6"/>
      <c r="F24" s="6"/>
      <c r="G24" s="6"/>
      <c r="H24" s="14"/>
      <c r="I24" s="99"/>
      <c r="J24" s="177">
        <v>0</v>
      </c>
      <c r="K24" s="99">
        <f>I24*H24</f>
        <v>0</v>
      </c>
      <c r="L24" s="6"/>
      <c r="M24" s="27"/>
    </row>
    <row r="25" spans="1:13" ht="21" x14ac:dyDescent="0.2">
      <c r="A25" s="5" t="s">
        <v>62</v>
      </c>
      <c r="B25" s="33" t="s">
        <v>63</v>
      </c>
      <c r="C25" s="3" t="s">
        <v>60</v>
      </c>
      <c r="D25" s="3"/>
      <c r="E25" s="3"/>
      <c r="F25" s="3"/>
      <c r="G25" s="3"/>
      <c r="H25" s="14">
        <f>H8-H19</f>
        <v>7.6620000000000008</v>
      </c>
      <c r="I25" s="99">
        <v>271.45</v>
      </c>
      <c r="J25" s="177">
        <v>98.563495000000003</v>
      </c>
      <c r="K25" s="354">
        <f>I25*H25</f>
        <v>2079.8499000000002</v>
      </c>
      <c r="L25" s="6"/>
      <c r="M25" s="27"/>
    </row>
    <row r="26" spans="1:13" ht="21" x14ac:dyDescent="0.2">
      <c r="A26" s="5" t="s">
        <v>64</v>
      </c>
      <c r="B26" s="33" t="s">
        <v>65</v>
      </c>
      <c r="C26" s="3" t="s">
        <v>60</v>
      </c>
      <c r="D26" s="3"/>
      <c r="E26" s="3"/>
      <c r="F26" s="3"/>
      <c r="G26" s="3"/>
      <c r="H26" s="14"/>
      <c r="I26" s="99">
        <v>434.32</v>
      </c>
      <c r="J26" s="177">
        <v>147.84252799999999</v>
      </c>
      <c r="K26" s="99">
        <f>I26*H26</f>
        <v>0</v>
      </c>
      <c r="L26" s="6"/>
      <c r="M26" s="27"/>
    </row>
    <row r="27" spans="1:13" ht="186.75" customHeight="1" x14ac:dyDescent="0.2">
      <c r="A27" s="32">
        <v>810</v>
      </c>
      <c r="B27" s="15" t="s">
        <v>308</v>
      </c>
      <c r="C27" s="3"/>
      <c r="D27" s="3"/>
      <c r="E27" s="3"/>
      <c r="F27" s="3"/>
      <c r="G27" s="3"/>
      <c r="H27" s="14"/>
      <c r="I27" s="99"/>
      <c r="J27" s="177">
        <v>0</v>
      </c>
      <c r="K27" s="99">
        <f>I27*H27</f>
        <v>0</v>
      </c>
      <c r="L27" s="6"/>
      <c r="M27" s="27"/>
    </row>
    <row r="28" spans="1:13" ht="21" x14ac:dyDescent="0.2">
      <c r="A28" s="32">
        <v>810</v>
      </c>
      <c r="B28" s="33" t="s">
        <v>66</v>
      </c>
      <c r="C28" s="3" t="s">
        <v>60</v>
      </c>
      <c r="D28" s="3"/>
      <c r="E28" s="3"/>
      <c r="F28" s="3"/>
      <c r="G28" s="3"/>
      <c r="H28" s="14">
        <f>SUM(H29:H30)</f>
        <v>542.62400000000002</v>
      </c>
      <c r="I28" s="99">
        <v>500</v>
      </c>
      <c r="J28" s="177">
        <v>730.25</v>
      </c>
      <c r="K28" s="354">
        <f>I28*H28</f>
        <v>271312</v>
      </c>
      <c r="L28" s="6"/>
      <c r="M28" s="27"/>
    </row>
    <row r="29" spans="1:13" ht="21" x14ac:dyDescent="0.2">
      <c r="A29" s="32"/>
      <c r="B29" s="33"/>
      <c r="C29" s="3"/>
      <c r="D29" s="3"/>
      <c r="E29" s="14">
        <f>E9-0.2</f>
        <v>3.4</v>
      </c>
      <c r="F29" s="14">
        <f>F9-0.2</f>
        <v>3.4</v>
      </c>
      <c r="G29" s="3">
        <v>0.4</v>
      </c>
      <c r="H29" s="14">
        <f>PRODUCT(D29:G29)</f>
        <v>4.6239999999999997</v>
      </c>
      <c r="I29" s="99"/>
      <c r="J29" s="177"/>
      <c r="K29" s="99"/>
      <c r="L29" s="6"/>
      <c r="M29" s="27"/>
    </row>
    <row r="30" spans="1:13" ht="21" x14ac:dyDescent="0.2">
      <c r="A30" s="32"/>
      <c r="B30" s="33"/>
      <c r="C30" s="3"/>
      <c r="D30" s="3"/>
      <c r="E30" s="3"/>
      <c r="F30" s="3"/>
      <c r="G30" s="3"/>
      <c r="H30" s="14">
        <v>538</v>
      </c>
      <c r="I30" s="99"/>
      <c r="J30" s="177">
        <v>3024</v>
      </c>
      <c r="K30" s="99">
        <f>I30*H30</f>
        <v>0</v>
      </c>
      <c r="L30" s="6"/>
      <c r="M30" s="27"/>
    </row>
    <row r="31" spans="1:13" ht="21" x14ac:dyDescent="0.2">
      <c r="A31" s="5"/>
      <c r="B31" s="33" t="s">
        <v>69</v>
      </c>
      <c r="C31" s="3"/>
      <c r="D31" s="3"/>
      <c r="E31" s="3"/>
      <c r="F31" s="3"/>
      <c r="G31" s="3"/>
      <c r="H31" s="14"/>
      <c r="I31" s="99"/>
      <c r="J31" s="177"/>
      <c r="K31" s="99">
        <f>I31*H31</f>
        <v>0</v>
      </c>
      <c r="L31" s="6"/>
      <c r="M31" s="27"/>
    </row>
    <row r="32" spans="1:13" ht="20.25" customHeight="1" x14ac:dyDescent="0.2">
      <c r="A32" s="5" t="s">
        <v>70</v>
      </c>
      <c r="B32" s="571" t="s">
        <v>71</v>
      </c>
      <c r="C32" s="14"/>
      <c r="D32" s="14"/>
      <c r="E32" s="14"/>
      <c r="F32" s="14"/>
      <c r="G32" s="14"/>
      <c r="H32" s="14"/>
      <c r="I32" s="99"/>
      <c r="J32" s="177"/>
      <c r="K32" s="99">
        <f>I32*H32</f>
        <v>0</v>
      </c>
      <c r="L32" s="6"/>
      <c r="M32" s="27"/>
    </row>
    <row r="33" spans="1:14" ht="223.5" customHeight="1" x14ac:dyDescent="0.2">
      <c r="A33" s="5"/>
      <c r="B33" s="571"/>
      <c r="C33" s="14"/>
      <c r="D33" s="14"/>
      <c r="E33" s="14"/>
      <c r="F33" s="14"/>
      <c r="G33" s="14"/>
      <c r="H33" s="14"/>
      <c r="I33" s="99"/>
      <c r="J33" s="177">
        <v>0</v>
      </c>
      <c r="K33" s="99">
        <f>I33*H33</f>
        <v>0</v>
      </c>
      <c r="L33" s="6"/>
      <c r="M33" s="27"/>
    </row>
    <row r="34" spans="1:14" ht="21" x14ac:dyDescent="0.2">
      <c r="A34" s="5"/>
      <c r="B34" s="33" t="s">
        <v>72</v>
      </c>
      <c r="C34" s="3" t="s">
        <v>73</v>
      </c>
      <c r="D34" s="3"/>
      <c r="E34" s="3"/>
      <c r="F34" s="3"/>
      <c r="G34" s="3" t="s">
        <v>309</v>
      </c>
      <c r="H34" s="14">
        <f>SUM(H35:H35)</f>
        <v>11.559999999999999</v>
      </c>
      <c r="I34" s="99">
        <v>53</v>
      </c>
      <c r="J34" s="177">
        <v>110.8813</v>
      </c>
      <c r="K34" s="354">
        <f>I34*H34</f>
        <v>612.67999999999995</v>
      </c>
      <c r="L34" s="6"/>
      <c r="M34" s="27"/>
    </row>
    <row r="35" spans="1:14" ht="21" x14ac:dyDescent="0.2">
      <c r="A35" s="5"/>
      <c r="B35" s="33"/>
      <c r="C35" s="3"/>
      <c r="D35" s="3"/>
      <c r="E35" s="14">
        <f>E29</f>
        <v>3.4</v>
      </c>
      <c r="F35" s="14">
        <f>F29</f>
        <v>3.4</v>
      </c>
      <c r="G35" s="3"/>
      <c r="H35" s="14">
        <f>PRODUCT(D35:G35)</f>
        <v>11.559999999999999</v>
      </c>
      <c r="I35" s="99"/>
      <c r="J35" s="177"/>
      <c r="K35" s="99"/>
      <c r="L35" s="6"/>
      <c r="M35" s="27"/>
    </row>
    <row r="36" spans="1:14" ht="63" x14ac:dyDescent="0.2">
      <c r="A36" s="5">
        <v>4.0999999999999996</v>
      </c>
      <c r="B36" s="33" t="s">
        <v>74</v>
      </c>
      <c r="C36" s="3"/>
      <c r="D36" s="3"/>
      <c r="E36" s="3"/>
      <c r="F36" s="3"/>
      <c r="G36" s="3"/>
      <c r="H36" s="14"/>
      <c r="I36" s="99"/>
      <c r="J36" s="177"/>
      <c r="K36" s="99">
        <f>I36*H36</f>
        <v>0</v>
      </c>
      <c r="L36" s="6"/>
      <c r="M36" s="27"/>
    </row>
    <row r="37" spans="1:14" ht="98.25" customHeight="1" x14ac:dyDescent="0.2">
      <c r="A37" s="5" t="s">
        <v>75</v>
      </c>
      <c r="B37" s="33" t="s">
        <v>76</v>
      </c>
      <c r="C37" s="3" t="s">
        <v>43</v>
      </c>
      <c r="D37" s="3"/>
      <c r="E37" s="3"/>
      <c r="F37" s="3"/>
      <c r="G37" s="3" t="s">
        <v>309</v>
      </c>
      <c r="H37" s="14">
        <f>SUM(H38:H39)</f>
        <v>1.7160000000000002</v>
      </c>
      <c r="I37" s="99">
        <v>6833.4</v>
      </c>
      <c r="J37" s="177">
        <v>4811.3969399999996</v>
      </c>
      <c r="K37" s="354">
        <f>I37*H37</f>
        <v>11726.1144</v>
      </c>
      <c r="L37" s="6"/>
      <c r="M37" s="27"/>
    </row>
    <row r="38" spans="1:14" ht="21" x14ac:dyDescent="0.2">
      <c r="A38" s="5"/>
      <c r="B38" s="33"/>
      <c r="C38" s="3"/>
      <c r="D38" s="3"/>
      <c r="E38" s="3">
        <f>3+3+3+3</f>
        <v>12</v>
      </c>
      <c r="F38" s="3">
        <v>0.89</v>
      </c>
      <c r="G38" s="14">
        <v>0.1</v>
      </c>
      <c r="H38" s="14">
        <f>PRODUCT(D38:G38)</f>
        <v>1.0680000000000001</v>
      </c>
      <c r="I38" s="99"/>
      <c r="J38" s="177"/>
      <c r="K38" s="99"/>
      <c r="L38" s="6"/>
      <c r="M38" s="27"/>
    </row>
    <row r="39" spans="1:14" ht="21" x14ac:dyDescent="0.2">
      <c r="A39" s="5"/>
      <c r="B39" s="33"/>
      <c r="C39" s="3"/>
      <c r="D39" s="3">
        <v>2</v>
      </c>
      <c r="E39" s="3">
        <v>1.8</v>
      </c>
      <c r="F39" s="3">
        <v>1.8</v>
      </c>
      <c r="G39" s="14">
        <v>0.1</v>
      </c>
      <c r="H39" s="14">
        <f>PRODUCT(D39:G39)</f>
        <v>0.64800000000000013</v>
      </c>
      <c r="I39" s="99"/>
      <c r="J39" s="177"/>
      <c r="K39" s="99"/>
      <c r="L39" s="6"/>
      <c r="M39" s="27"/>
    </row>
    <row r="40" spans="1:14" ht="215.25" customHeight="1" x14ac:dyDescent="0.2">
      <c r="A40" s="5">
        <v>16.79</v>
      </c>
      <c r="B40" s="33" t="s">
        <v>77</v>
      </c>
      <c r="C40" s="3" t="s">
        <v>43</v>
      </c>
      <c r="D40" s="3"/>
      <c r="E40" s="3"/>
      <c r="F40" s="3"/>
      <c r="G40" s="3" t="s">
        <v>309</v>
      </c>
      <c r="H40" s="14"/>
      <c r="I40" s="99">
        <v>2803.65</v>
      </c>
      <c r="J40" s="177">
        <v>1985.8252950000001</v>
      </c>
      <c r="K40" s="99">
        <f>I40*H40</f>
        <v>0</v>
      </c>
      <c r="L40" s="6"/>
      <c r="M40" s="27"/>
    </row>
    <row r="41" spans="1:14" ht="42" x14ac:dyDescent="0.2">
      <c r="A41" s="5" t="s">
        <v>207</v>
      </c>
      <c r="B41" s="33" t="s">
        <v>79</v>
      </c>
      <c r="C41" s="3" t="s">
        <v>73</v>
      </c>
      <c r="D41" s="3"/>
      <c r="E41" s="3"/>
      <c r="F41" s="3"/>
      <c r="G41" s="3"/>
      <c r="H41" s="14">
        <f>SUM(H42)</f>
        <v>420</v>
      </c>
      <c r="I41" s="99">
        <v>120</v>
      </c>
      <c r="J41" s="177">
        <v>151.19999999999999</v>
      </c>
      <c r="K41" s="354">
        <f>I41*H41</f>
        <v>50400</v>
      </c>
      <c r="L41" s="99"/>
      <c r="M41" s="6"/>
      <c r="N41" s="27"/>
    </row>
    <row r="42" spans="1:14" ht="21" x14ac:dyDescent="0.2">
      <c r="A42" s="5"/>
      <c r="B42" s="33"/>
      <c r="C42" s="3"/>
      <c r="D42" s="3"/>
      <c r="E42" s="3">
        <v>35</v>
      </c>
      <c r="F42" s="14">
        <v>12</v>
      </c>
      <c r="G42" s="14"/>
      <c r="H42" s="14">
        <f>PRODUCT(D42:G42)</f>
        <v>420</v>
      </c>
      <c r="I42" s="99"/>
      <c r="J42" s="177"/>
      <c r="K42" s="99"/>
      <c r="L42" s="6"/>
      <c r="M42" s="27"/>
    </row>
    <row r="43" spans="1:14" ht="42" x14ac:dyDescent="0.2">
      <c r="A43" s="5">
        <v>5.9</v>
      </c>
      <c r="B43" s="33" t="s">
        <v>80</v>
      </c>
      <c r="C43" s="3"/>
      <c r="D43" s="3"/>
      <c r="E43" s="3"/>
      <c r="F43" s="3"/>
      <c r="G43" s="3"/>
      <c r="H43" s="14"/>
      <c r="I43" s="99"/>
      <c r="J43" s="177"/>
      <c r="K43" s="99">
        <f>I43*H43</f>
        <v>0</v>
      </c>
      <c r="L43" s="6"/>
      <c r="M43" s="27"/>
    </row>
    <row r="44" spans="1:14" ht="63" x14ac:dyDescent="0.2">
      <c r="A44" s="5" t="s">
        <v>81</v>
      </c>
      <c r="B44" s="33" t="s">
        <v>310</v>
      </c>
      <c r="C44" s="3" t="s">
        <v>73</v>
      </c>
      <c r="D44" s="3"/>
      <c r="E44" s="3"/>
      <c r="F44" s="3"/>
      <c r="G44" s="3" t="s">
        <v>309</v>
      </c>
      <c r="H44" s="14">
        <f>SUM(H45:H46)</f>
        <v>22.32</v>
      </c>
      <c r="I44" s="99">
        <v>307.95</v>
      </c>
      <c r="J44" s="177">
        <v>684.32649000000004</v>
      </c>
      <c r="K44" s="354">
        <f>I44*H44</f>
        <v>6873.4439999999995</v>
      </c>
      <c r="L44" s="6"/>
      <c r="M44" s="27"/>
    </row>
    <row r="45" spans="1:14" ht="21" x14ac:dyDescent="0.2">
      <c r="A45" s="5"/>
      <c r="B45" s="3"/>
      <c r="C45" s="3"/>
      <c r="D45" s="3"/>
      <c r="E45" s="3">
        <f>E50</f>
        <v>12</v>
      </c>
      <c r="F45" s="3">
        <v>2</v>
      </c>
      <c r="G45" s="3">
        <f>G50</f>
        <v>0.25</v>
      </c>
      <c r="H45" s="14">
        <f>PRODUCT(D45:G45)</f>
        <v>6</v>
      </c>
      <c r="I45" s="99"/>
      <c r="J45" s="177"/>
      <c r="K45" s="99"/>
      <c r="L45" s="6"/>
      <c r="M45" s="27"/>
    </row>
    <row r="46" spans="1:14" ht="21" x14ac:dyDescent="0.2">
      <c r="A46" s="5"/>
      <c r="B46" s="33"/>
      <c r="C46" s="3"/>
      <c r="D46" s="3"/>
      <c r="E46" s="3">
        <f>E51</f>
        <v>12</v>
      </c>
      <c r="F46" s="3">
        <v>2</v>
      </c>
      <c r="G46" s="3">
        <f>G51</f>
        <v>0.68</v>
      </c>
      <c r="H46" s="14">
        <f>PRODUCT(D46:G46)</f>
        <v>16.32</v>
      </c>
      <c r="I46" s="99"/>
      <c r="J46" s="177"/>
      <c r="K46" s="99"/>
      <c r="L46" s="6"/>
      <c r="M46" s="27"/>
    </row>
    <row r="47" spans="1:14" ht="294" x14ac:dyDescent="0.2">
      <c r="A47" s="5">
        <v>5.33</v>
      </c>
      <c r="B47" s="33" t="s">
        <v>312</v>
      </c>
      <c r="C47" s="3"/>
      <c r="D47" s="3"/>
      <c r="E47" s="3"/>
      <c r="F47" s="3"/>
      <c r="G47" s="3"/>
      <c r="H47" s="14"/>
      <c r="I47" s="99"/>
      <c r="J47" s="177"/>
      <c r="K47" s="99">
        <f>I47*H47</f>
        <v>0</v>
      </c>
      <c r="L47" s="6"/>
      <c r="M47" s="27"/>
    </row>
    <row r="48" spans="1:14" ht="21" x14ac:dyDescent="0.2">
      <c r="A48" s="5" t="s">
        <v>100</v>
      </c>
      <c r="B48" s="33" t="s">
        <v>101</v>
      </c>
      <c r="C48" s="3"/>
      <c r="D48" s="3"/>
      <c r="E48" s="3"/>
      <c r="F48" s="3"/>
      <c r="G48" s="3"/>
      <c r="H48" s="14"/>
      <c r="I48" s="99"/>
      <c r="J48" s="177"/>
      <c r="K48" s="99">
        <f>I48*H48</f>
        <v>0</v>
      </c>
      <c r="L48" s="6"/>
      <c r="M48" s="27"/>
    </row>
    <row r="49" spans="1:13" ht="42" x14ac:dyDescent="0.2">
      <c r="A49" s="5" t="s">
        <v>102</v>
      </c>
      <c r="B49" s="33" t="s">
        <v>313</v>
      </c>
      <c r="C49" s="3" t="s">
        <v>43</v>
      </c>
      <c r="D49" s="3"/>
      <c r="E49" s="3"/>
      <c r="F49" s="3"/>
      <c r="G49" s="3" t="s">
        <v>309</v>
      </c>
      <c r="H49" s="14">
        <f>SUM(H50:H52)</f>
        <v>3.9468000000000001</v>
      </c>
      <c r="I49" s="99">
        <v>7997.3</v>
      </c>
      <c r="J49" s="177">
        <v>6051.5569100000002</v>
      </c>
      <c r="K49" s="354">
        <f>I49*H49</f>
        <v>31563.743640000001</v>
      </c>
      <c r="L49" s="6"/>
      <c r="M49" s="27"/>
    </row>
    <row r="50" spans="1:13" ht="21" x14ac:dyDescent="0.2">
      <c r="A50" s="5"/>
      <c r="B50" s="33" t="s">
        <v>381</v>
      </c>
      <c r="C50" s="3"/>
      <c r="D50" s="3"/>
      <c r="E50" s="3">
        <f>E38</f>
        <v>12</v>
      </c>
      <c r="F50" s="3">
        <v>0.69</v>
      </c>
      <c r="G50" s="2">
        <v>0.25</v>
      </c>
      <c r="H50" s="2">
        <f>PRODUCT(D50:G50)</f>
        <v>2.0699999999999998</v>
      </c>
      <c r="I50" s="189"/>
      <c r="J50" s="99"/>
      <c r="K50" s="189"/>
      <c r="L50" s="6"/>
      <c r="M50" s="27"/>
    </row>
    <row r="51" spans="1:13" ht="21" x14ac:dyDescent="0.2">
      <c r="A51" s="5"/>
      <c r="B51" s="33"/>
      <c r="C51" s="3"/>
      <c r="D51" s="3"/>
      <c r="E51" s="3">
        <f>E50</f>
        <v>12</v>
      </c>
      <c r="F51" s="3">
        <v>0.23</v>
      </c>
      <c r="G51" s="2">
        <v>0.68</v>
      </c>
      <c r="H51" s="2">
        <f>PRODUCT(D51:G51)</f>
        <v>1.8768000000000002</v>
      </c>
      <c r="I51" s="189"/>
      <c r="J51" s="99"/>
      <c r="K51" s="189"/>
      <c r="L51" s="6"/>
      <c r="M51" s="27"/>
    </row>
    <row r="52" spans="1:13" ht="21" x14ac:dyDescent="0.2">
      <c r="A52" s="5"/>
      <c r="B52" s="33"/>
      <c r="C52" s="3"/>
      <c r="D52" s="3"/>
      <c r="E52" s="3"/>
      <c r="F52" s="3"/>
      <c r="G52" s="14"/>
      <c r="H52" s="2"/>
      <c r="I52" s="189"/>
      <c r="J52" s="99"/>
      <c r="K52" s="189"/>
      <c r="L52" s="6"/>
      <c r="M52" s="27"/>
    </row>
    <row r="53" spans="1:13" ht="21" x14ac:dyDescent="0.2">
      <c r="A53" s="5"/>
      <c r="B53" s="33"/>
      <c r="C53" s="3"/>
      <c r="D53" s="3"/>
      <c r="E53" s="3"/>
      <c r="F53" s="3"/>
      <c r="G53" s="3"/>
      <c r="H53" s="14"/>
      <c r="I53" s="99"/>
      <c r="J53" s="177"/>
      <c r="K53" s="99"/>
      <c r="L53" s="6"/>
      <c r="M53" s="27"/>
    </row>
    <row r="54" spans="1:13" ht="84" x14ac:dyDescent="0.2">
      <c r="A54" s="5">
        <v>5.22</v>
      </c>
      <c r="B54" s="33" t="s">
        <v>316</v>
      </c>
      <c r="C54" s="8"/>
      <c r="D54" s="8"/>
      <c r="E54" s="8"/>
      <c r="F54" s="8"/>
      <c r="G54" s="8"/>
      <c r="H54" s="14"/>
      <c r="I54" s="99"/>
      <c r="J54" s="177">
        <v>0</v>
      </c>
      <c r="K54" s="99">
        <f>I54*H54</f>
        <v>0</v>
      </c>
      <c r="L54" s="6"/>
      <c r="M54" s="27"/>
    </row>
    <row r="55" spans="1:13" ht="42" x14ac:dyDescent="0.2">
      <c r="A55" s="5" t="s">
        <v>110</v>
      </c>
      <c r="B55" s="33" t="s">
        <v>111</v>
      </c>
      <c r="C55" s="3" t="s">
        <v>112</v>
      </c>
      <c r="D55" s="3"/>
      <c r="E55" s="3"/>
      <c r="F55" s="3"/>
      <c r="G55" s="3" t="s">
        <v>309</v>
      </c>
      <c r="H55" s="35">
        <f>SUM(H56)*8</f>
        <v>66.239999999999995</v>
      </c>
      <c r="I55" s="99">
        <v>89.65</v>
      </c>
      <c r="J55" s="177">
        <v>90.716835000000003</v>
      </c>
      <c r="K55" s="354">
        <f>I55*H55</f>
        <v>5938.4160000000002</v>
      </c>
      <c r="L55" s="6"/>
      <c r="M55" s="27"/>
    </row>
    <row r="56" spans="1:13" ht="21" x14ac:dyDescent="0.2">
      <c r="A56" s="5"/>
      <c r="B56" s="33"/>
      <c r="C56" s="3"/>
      <c r="D56" s="3"/>
      <c r="E56" s="3">
        <f>E50</f>
        <v>12</v>
      </c>
      <c r="F56" s="3">
        <f>F50</f>
        <v>0.69</v>
      </c>
      <c r="G56" s="14"/>
      <c r="H56" s="14">
        <f>PRODUCT(D56:G56)</f>
        <v>8.2799999999999994</v>
      </c>
      <c r="I56" s="99"/>
      <c r="J56" s="177"/>
      <c r="K56" s="99"/>
      <c r="L56" s="6"/>
      <c r="M56" s="27"/>
    </row>
    <row r="57" spans="1:13" ht="21" x14ac:dyDescent="0.2">
      <c r="A57" s="71" t="s">
        <v>382</v>
      </c>
      <c r="B57" s="33" t="s">
        <v>383</v>
      </c>
      <c r="C57" s="3" t="s">
        <v>211</v>
      </c>
      <c r="D57" s="3"/>
      <c r="E57" s="3"/>
      <c r="F57" s="3"/>
      <c r="G57" s="3"/>
      <c r="H57" s="8"/>
      <c r="I57" s="99">
        <v>197.7</v>
      </c>
      <c r="J57" s="177">
        <v>195.99977999999999</v>
      </c>
      <c r="K57" s="99">
        <f t="shared" ref="K57:K62" si="1">I57*H57</f>
        <v>0</v>
      </c>
      <c r="L57" s="6"/>
      <c r="M57" s="27"/>
    </row>
    <row r="58" spans="1:13" ht="84" x14ac:dyDescent="0.2">
      <c r="A58" s="98">
        <v>16.7</v>
      </c>
      <c r="B58" s="33" t="s">
        <v>334</v>
      </c>
      <c r="C58" s="3"/>
      <c r="D58" s="3"/>
      <c r="E58" s="3"/>
      <c r="F58" s="3"/>
      <c r="G58" s="3"/>
      <c r="H58" s="8"/>
      <c r="I58" s="99"/>
      <c r="J58" s="177"/>
      <c r="K58" s="99">
        <f t="shared" si="1"/>
        <v>0</v>
      </c>
      <c r="L58" s="6"/>
      <c r="M58" s="27"/>
    </row>
    <row r="59" spans="1:13" ht="21" x14ac:dyDescent="0.2">
      <c r="A59" s="98" t="s">
        <v>221</v>
      </c>
      <c r="B59" s="33" t="s">
        <v>222</v>
      </c>
      <c r="C59" s="3" t="s">
        <v>73</v>
      </c>
      <c r="D59" s="3"/>
      <c r="E59" s="3">
        <f>35+35+12+12</f>
        <v>94</v>
      </c>
      <c r="F59" s="3">
        <v>1.8</v>
      </c>
      <c r="G59" s="3"/>
      <c r="H59" s="8">
        <f>PRODUCT(D59:G59)</f>
        <v>169.20000000000002</v>
      </c>
      <c r="I59" s="144">
        <v>859.5</v>
      </c>
      <c r="J59" s="177">
        <v>1440.0252149999999</v>
      </c>
      <c r="K59" s="354">
        <f t="shared" si="1"/>
        <v>145427.40000000002</v>
      </c>
      <c r="L59" s="6"/>
      <c r="M59" s="27"/>
    </row>
    <row r="60" spans="1:13" ht="21" x14ac:dyDescent="0.2">
      <c r="A60" s="98"/>
      <c r="B60" s="33"/>
      <c r="C60" s="3"/>
      <c r="D60" s="3"/>
      <c r="E60" s="3"/>
      <c r="F60" s="3"/>
      <c r="G60" s="3"/>
      <c r="H60" s="8"/>
      <c r="I60" s="99"/>
      <c r="J60" s="177"/>
      <c r="K60" s="99">
        <f t="shared" si="1"/>
        <v>0</v>
      </c>
      <c r="L60" s="6"/>
      <c r="M60" s="27"/>
    </row>
    <row r="61" spans="1:13" ht="123.75" customHeight="1" x14ac:dyDescent="0.2">
      <c r="A61" s="104" t="s">
        <v>138</v>
      </c>
      <c r="B61" s="76" t="s">
        <v>217</v>
      </c>
      <c r="C61" s="78" t="s">
        <v>218</v>
      </c>
      <c r="D61" s="3"/>
      <c r="E61" s="99">
        <f>(94/3)+8</f>
        <v>39.333333333333329</v>
      </c>
      <c r="F61" s="3">
        <v>2.4</v>
      </c>
      <c r="G61" s="3">
        <v>4.5</v>
      </c>
      <c r="H61" s="8">
        <f>PRODUCT(D61:G61)</f>
        <v>424.79999999999995</v>
      </c>
      <c r="I61" s="191">
        <v>110</v>
      </c>
      <c r="J61" s="177"/>
      <c r="K61" s="354">
        <f t="shared" si="1"/>
        <v>46727.999999999993</v>
      </c>
      <c r="L61" s="6"/>
      <c r="M61" s="27"/>
    </row>
    <row r="62" spans="1:13" ht="81" x14ac:dyDescent="0.2">
      <c r="A62" s="76" t="s">
        <v>138</v>
      </c>
      <c r="B62" s="77" t="s">
        <v>229</v>
      </c>
      <c r="C62" s="78" t="s">
        <v>228</v>
      </c>
      <c r="D62" s="12"/>
      <c r="E62" s="12">
        <v>1.5</v>
      </c>
      <c r="F62" s="12"/>
      <c r="G62" s="12">
        <v>2.1</v>
      </c>
      <c r="H62" s="8">
        <f>PRODUCT(D62:G62)</f>
        <v>3.1500000000000004</v>
      </c>
      <c r="I62" s="79">
        <v>5722</v>
      </c>
      <c r="J62" s="177"/>
      <c r="K62" s="354">
        <f t="shared" si="1"/>
        <v>18024.300000000003</v>
      </c>
      <c r="L62" s="6"/>
      <c r="M62" s="27"/>
    </row>
    <row r="63" spans="1:13" ht="21" x14ac:dyDescent="0.2">
      <c r="A63" s="72"/>
      <c r="B63" s="33"/>
      <c r="C63" s="3"/>
      <c r="D63" s="3"/>
      <c r="E63" s="3"/>
      <c r="F63" s="3"/>
      <c r="G63" s="3"/>
      <c r="H63" s="14"/>
      <c r="I63" s="99"/>
      <c r="J63" s="177"/>
      <c r="K63" s="99"/>
      <c r="L63" s="6"/>
      <c r="M63" s="27"/>
    </row>
    <row r="64" spans="1:13" ht="20.25" x14ac:dyDescent="0.3">
      <c r="A64" s="557"/>
      <c r="B64" s="557"/>
      <c r="C64" s="557"/>
      <c r="D64" s="557"/>
      <c r="E64" s="557"/>
      <c r="F64" s="557"/>
      <c r="G64" s="557"/>
      <c r="H64" s="557"/>
      <c r="I64" s="557"/>
      <c r="J64" s="180"/>
      <c r="K64" s="99">
        <f>SUM(K7:K63)</f>
        <v>594991.69824000006</v>
      </c>
      <c r="L64" s="48"/>
      <c r="M64" s="27"/>
    </row>
    <row r="65" spans="1:13" ht="20.25" x14ac:dyDescent="0.2">
      <c r="A65" s="50"/>
      <c r="B65" s="51"/>
      <c r="C65" s="50"/>
      <c r="D65" s="50"/>
      <c r="E65" s="50"/>
      <c r="F65" s="50"/>
      <c r="G65" s="50"/>
      <c r="H65" s="52"/>
      <c r="I65" s="171"/>
      <c r="J65" s="181"/>
      <c r="K65" s="165"/>
      <c r="L65" s="6"/>
      <c r="M65" s="53"/>
    </row>
  </sheetData>
  <protectedRanges>
    <protectedRange sqref="I61" name="Range1_1"/>
    <protectedRange sqref="I62" name="Range2_46_26"/>
    <protectedRange sqref="M2" name="Range1"/>
  </protectedRanges>
  <autoFilter ref="A6:N9"/>
  <mergeCells count="7">
    <mergeCell ref="B32:B33"/>
    <mergeCell ref="A64:I64"/>
    <mergeCell ref="A1:M1"/>
    <mergeCell ref="B2:K2"/>
    <mergeCell ref="L2:M2"/>
    <mergeCell ref="A3:M3"/>
    <mergeCell ref="A4:M4"/>
  </mergeCells>
  <phoneticPr fontId="1" type="noConversion"/>
  <conditionalFormatting sqref="A61 C61:C62">
    <cfRule type="cellIs" dxfId="48" priority="5" stopIfTrue="1" operator="equal">
      <formula>#REF!</formula>
    </cfRule>
  </conditionalFormatting>
  <conditionalFormatting sqref="A61:B61 A62">
    <cfRule type="cellIs" dxfId="47" priority="4" stopIfTrue="1" operator="equal">
      <formula>#REF!</formula>
    </cfRule>
  </conditionalFormatting>
  <conditionalFormatting sqref="B27">
    <cfRule type="cellIs" dxfId="46" priority="6" stopIfTrue="1" operator="equal">
      <formula>#REF!</formula>
    </cfRule>
  </conditionalFormatting>
  <conditionalFormatting sqref="B62">
    <cfRule type="cellIs" dxfId="45" priority="1" stopIfTrue="1" operator="equal">
      <formula>#REF!</formula>
    </cfRule>
    <cfRule type="cellIs" dxfId="44" priority="2" stopIfTrue="1" operator="equal">
      <formula>#REF!</formula>
    </cfRule>
  </conditionalFormatting>
  <conditionalFormatting sqref="I62">
    <cfRule type="cellIs" dxfId="43" priority="3" stopIfTrue="1" operator="equal">
      <formula>#REF!</formula>
    </cfRule>
  </conditionalFormatting>
  <pageMargins left="0.7" right="0.7" top="0.75" bottom="0.75" header="0.3" footer="0.3"/>
  <pageSetup scale="31" orientation="portrait" r:id="rId1"/>
  <drawing r:id="rId2"/>
</worksheet>
</file>

<file path=docProps/app.xml><?xml version="1.0" encoding="utf-8"?>
<Properties xmlns="http://schemas.openxmlformats.org/officeDocument/2006/extended-properties" xmlns:vt="http://schemas.openxmlformats.org/officeDocument/2006/docPropsVTypes">
  <TotalTime>0</TotalTime>
  <Pages>19</Pages>
  <Words>0</Words>
  <Characters>0</Characters>
  <Application>Microsoft Excel</Application>
  <DocSecurity>0</DocSecurity>
  <Lines>0</Lines>
  <Paragraphs>0</Paragraphs>
  <MMClips>0</MMClips>
  <ScaleCrop>false</ScaleCrop>
  <HeadingPairs>
    <vt:vector size="4" baseType="variant">
      <vt:variant>
        <vt:lpstr>Worksheets</vt:lpstr>
      </vt:variant>
      <vt:variant>
        <vt:i4>20</vt:i4>
      </vt:variant>
      <vt:variant>
        <vt:lpstr>Named Ranges</vt:lpstr>
      </vt:variant>
      <vt:variant>
        <vt:i4>16</vt:i4>
      </vt:variant>
    </vt:vector>
  </HeadingPairs>
  <TitlesOfParts>
    <vt:vector size="36" baseType="lpstr">
      <vt:lpstr>SUMMARISED BOQ - ANX 1</vt:lpstr>
      <vt:lpstr>DRAWINGS - ANX 2</vt:lpstr>
      <vt:lpstr>SCOPE OF WORK - ANX 3</vt:lpstr>
      <vt:lpstr>WEIGH BRIDGE </vt:lpstr>
      <vt:lpstr>PARKING </vt:lpstr>
      <vt:lpstr>ELECTRICAL LINE FOUNDATION </vt:lpstr>
      <vt:lpstr>allied infrastructre finishig w</vt:lpstr>
      <vt:lpstr>PLOT BOUNDARY 103,104</vt:lpstr>
      <vt:lpstr>GAS TANK STORAGE</vt:lpstr>
      <vt:lpstr>LIQUID STORAGE PLATFORM </vt:lpstr>
      <vt:lpstr>FIRE LINE </vt:lpstr>
      <vt:lpstr>HT YARD WITH CABLE TRENCH </vt:lpstr>
      <vt:lpstr>CHIMNEY BOILER  FOUNDATION </vt:lpstr>
      <vt:lpstr>DG FOUNDATION </vt:lpstr>
      <vt:lpstr>PIPE RACK FOUNDATION </vt:lpstr>
      <vt:lpstr>FUEL YARD</vt:lpstr>
      <vt:lpstr>COOLING TOWER </vt:lpstr>
      <vt:lpstr>WEIGH BRIDGE CABIN </vt:lpstr>
      <vt:lpstr>SPECIFICATIONS - ANX 4</vt:lpstr>
      <vt:lpstr>Sheet1</vt:lpstr>
      <vt:lpstr>'allied infrastructre finishig w'!Print_Area</vt:lpstr>
      <vt:lpstr>'CHIMNEY BOILER  FOUNDATION '!Print_Area</vt:lpstr>
      <vt:lpstr>'COOLING TOWER '!Print_Area</vt:lpstr>
      <vt:lpstr>'DG FOUNDATION '!Print_Area</vt:lpstr>
      <vt:lpstr>'ELECTRICAL LINE FOUNDATION '!Print_Area</vt:lpstr>
      <vt:lpstr>'FIRE LINE '!Print_Area</vt:lpstr>
      <vt:lpstr>'GAS TANK STORAGE'!Print_Area</vt:lpstr>
      <vt:lpstr>'HT YARD WITH CABLE TRENCH '!Print_Area</vt:lpstr>
      <vt:lpstr>'LIQUID STORAGE PLATFORM '!Print_Area</vt:lpstr>
      <vt:lpstr>'PARKING '!Print_Area</vt:lpstr>
      <vt:lpstr>'PIPE RACK FOUNDATION '!Print_Area</vt:lpstr>
      <vt:lpstr>'PLOT BOUNDARY 103,104'!Print_Area</vt:lpstr>
      <vt:lpstr>'SCOPE OF WORK - ANX 3'!Print_Area</vt:lpstr>
      <vt:lpstr>'SUMMARISED BOQ - ANX 1'!Print_Area</vt:lpstr>
      <vt:lpstr>'WEIGH BRIDGE '!Print_Area</vt:lpstr>
      <vt:lpstr>'SUMMARISED BOQ - ANX 1'!Print_Titles</vt:lpstr>
    </vt:vector>
  </TitlesOfParts>
  <Company>DOSHI CONSULTANTS PVT LTD</Company>
  <LinksUpToDate>false</LinksUpToDate>
  <CharactersWithSpaces>0</CharactersWithSpaces>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RAJESH SINGH PANWAR</dc:creator>
  <cp:lastModifiedBy>HEMANTH</cp:lastModifiedBy>
  <cp:revision>3</cp:revision>
  <cp:lastPrinted>2023-10-17T03:46:58Z</cp:lastPrinted>
  <dcterms:created xsi:type="dcterms:W3CDTF">2023-10-16T07:32:44Z</dcterms:created>
  <dcterms:modified xsi:type="dcterms:W3CDTF">2023-10-17T04:10:53Z</dcterms:modified>
</cp:coreProperties>
</file>